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220" activeTab="0"/>
  </bookViews>
  <sheets>
    <sheet name="PRE-MOLDADO" sheetId="1" r:id="rId1"/>
    <sheet name="CRONOGRAMA" sheetId="2" r:id="rId2"/>
  </sheets>
  <definedNames>
    <definedName name="_xlnm.Print_Area" localSheetId="1">'CRONOGRAMA'!$B$1:$H$19</definedName>
    <definedName name="_xlnm.Print_Area" localSheetId="0">'PRE-MOLDADO'!$B$1:$I$35</definedName>
  </definedNames>
  <calcPr fullCalcOnLoad="1"/>
</workbook>
</file>

<file path=xl/sharedStrings.xml><?xml version="1.0" encoding="utf-8"?>
<sst xmlns="http://schemas.openxmlformats.org/spreadsheetml/2006/main" count="185" uniqueCount="108">
  <si>
    <t>SERVIÇOS/MATERIAIS</t>
  </si>
  <si>
    <t>QUANT.</t>
  </si>
  <si>
    <t>TOTAL</t>
  </si>
  <si>
    <t>Total</t>
  </si>
  <si>
    <t>m2</t>
  </si>
  <si>
    <t>und.</t>
  </si>
  <si>
    <t>m</t>
  </si>
  <si>
    <t>Valor Mat.</t>
  </si>
  <si>
    <t xml:space="preserve">     CRONOGRAMA FÍSICO-FINANCEIRO</t>
  </si>
  <si>
    <t>Serviços</t>
  </si>
  <si>
    <t>Tempo</t>
  </si>
  <si>
    <t>30 dias</t>
  </si>
  <si>
    <t>TOTAL PARCIAL</t>
  </si>
  <si>
    <t>TOTAL ACUMULADO</t>
  </si>
  <si>
    <r>
      <t xml:space="preserve">Proprietário –  </t>
    </r>
    <r>
      <rPr>
        <b/>
        <sz val="12"/>
        <rFont val="Times New Roman"/>
        <family val="1"/>
      </rPr>
      <t>PREFEITURA MUNICIPAL DE ARATIBA</t>
    </r>
  </si>
  <si>
    <t>ORÇAMENTO DE SERVIÇOS E MATERIAIS</t>
  </si>
  <si>
    <t xml:space="preserve"> </t>
  </si>
  <si>
    <t>1 - PRÉ-MOLDADO COM COBERTURA</t>
  </si>
  <si>
    <t>Fundações/Sapatas inclusive escavação e reaterro</t>
  </si>
  <si>
    <t>Pilares Laterais (0,25x0,35x7,50m)</t>
  </si>
  <si>
    <t>Pilares Laterais (0,25x0,35x8,50m)</t>
  </si>
  <si>
    <t>Tesouras em concreto pré-moldado</t>
  </si>
  <si>
    <t>Vigas de baldrame (15x40)cm</t>
  </si>
  <si>
    <t>1 -Estrutura Pré-moldada e cobertura</t>
  </si>
  <si>
    <t>Local –  Rua Orestes Valandro, lote 01A, quadra 82, Distr. Industrial II, Aratiba, RS</t>
  </si>
  <si>
    <t>Pilares de Oitão (0,25x0,35x9,30m)</t>
  </si>
  <si>
    <t>Vigas respaldo (15x30)cm (perímetro externo do pavilhão)</t>
  </si>
  <si>
    <t>Obra –  Execução de Estrutua Pré-moldada e cobertura de Pavilhão Industrial (AMPLIAÇÃO)</t>
  </si>
  <si>
    <t>UND.</t>
  </si>
  <si>
    <t>Valor M.O</t>
  </si>
  <si>
    <t>TOTAL DO ORÇAMENTO</t>
  </si>
  <si>
    <t>Alvenaria com bloco cerâmico maciço 5x10x20 com argamassa de assentamento traço 1:2:8 (cal,cimento e areia)</t>
  </si>
  <si>
    <t>3 - PISO</t>
  </si>
  <si>
    <t xml:space="preserve">2 - ALVENARIA </t>
  </si>
  <si>
    <t>Mercado</t>
  </si>
  <si>
    <t>SINAPI 73132</t>
  </si>
  <si>
    <t>Composição 01 - P.M ARATIBA</t>
  </si>
  <si>
    <t>Bloco cerâmico furado na horizontal 9x14x24</t>
  </si>
  <si>
    <t xml:space="preserve">Descrição </t>
  </si>
  <si>
    <t>Unid.</t>
  </si>
  <si>
    <t>Qntd.</t>
  </si>
  <si>
    <t>Valor Unit.</t>
  </si>
  <si>
    <t>Valor Total</t>
  </si>
  <si>
    <t>unid</t>
  </si>
  <si>
    <t>MERCADO</t>
  </si>
  <si>
    <t>SINAPI 87292</t>
  </si>
  <si>
    <t>Argamassa de assentamento traço 1:2:8, preparo mecênico com betoneira 400L</t>
  </si>
  <si>
    <t>Pedreiro com encargos complementares</t>
  </si>
  <si>
    <t>h</t>
  </si>
  <si>
    <t>SINAPI 88309</t>
  </si>
  <si>
    <t>Servente com encargos complementares</t>
  </si>
  <si>
    <t>SINAPI 88316</t>
  </si>
  <si>
    <t>Base</t>
  </si>
  <si>
    <t>Material</t>
  </si>
  <si>
    <t>Valor total da composição 01</t>
  </si>
  <si>
    <t>Composição 01</t>
  </si>
  <si>
    <t>Mão de Obra</t>
  </si>
  <si>
    <t>Data da composição: 16/02/2018</t>
  </si>
  <si>
    <t>Valor de mercado baseado em média de orçamentos para o item 'tijolo 9x14x24´</t>
  </si>
  <si>
    <t>Atualização SINAPI Dezembro/2017</t>
  </si>
  <si>
    <t>Composição 02 - P.M ARATIBA</t>
  </si>
  <si>
    <t>m3/m2</t>
  </si>
  <si>
    <t xml:space="preserve">04228/ORSE </t>
  </si>
  <si>
    <t>Malha de aço soldada CA-60, Q138, 10X10cm, 4,2mm</t>
  </si>
  <si>
    <t>SANEAGO I.04.19</t>
  </si>
  <si>
    <t>Concreto estrutural usinado 25MPA (Inlcuindo lançamento, aplicação e adensamento)</t>
  </si>
  <si>
    <t>SINAPI 96624</t>
  </si>
  <si>
    <t>Lastro com material granular aplicado em pisos ou redier, esp. 5 cm</t>
  </si>
  <si>
    <t>SINAPI 68053</t>
  </si>
  <si>
    <t>Fornecimento/Inst. Lona plastica preta para impermeabilização</t>
  </si>
  <si>
    <t>SINAPI 033</t>
  </si>
  <si>
    <t>Vergalhão 8,0mm (transpasse 50 cm cada lado) L:1m</t>
  </si>
  <si>
    <t>kg</t>
  </si>
  <si>
    <t>Polimento  com polidora de piso, incluso juntas de dilatação</t>
  </si>
  <si>
    <t>Composição 02</t>
  </si>
  <si>
    <t>SINAPI 9537</t>
  </si>
  <si>
    <t xml:space="preserve">Limpeza final da obra </t>
  </si>
  <si>
    <t>Alvenaria com bloco cerâmico furado na horizontal 9x14x24 com argamassa traço 1:2:8 (cal,cimento e areia), incluso limpeza</t>
  </si>
  <si>
    <t xml:space="preserve">BDI: 20,80% </t>
  </si>
  <si>
    <t>Acordão nº 2369/2011/TCU</t>
  </si>
  <si>
    <t>4 - SERVIÇOS FINAIS</t>
  </si>
  <si>
    <t>Composição 03 - P.M ARATIBA</t>
  </si>
  <si>
    <t>Composição 03</t>
  </si>
  <si>
    <t>Remoção e instalação de porta metálica completa tipo contrapeso (475x450cm)/ fachada Leste</t>
  </si>
  <si>
    <t>3 - Piso</t>
  </si>
  <si>
    <t>2 - Alvenaria</t>
  </si>
  <si>
    <t>4 - Serviços finais</t>
  </si>
  <si>
    <t xml:space="preserve">OBRA: Ampliação de Pavilhão </t>
  </si>
  <si>
    <t>Proprietário: Prefeitura Municipal de Aratiba</t>
  </si>
  <si>
    <t>Local: Rua Orestes Valandro, Lote 01A, Quadra 82, Distr. Industrial II, Aratiba/RS</t>
  </si>
  <si>
    <t xml:space="preserve">Griebler </t>
  </si>
  <si>
    <t>Sulmet</t>
  </si>
  <si>
    <t>Média</t>
  </si>
  <si>
    <t>Fund.</t>
  </si>
  <si>
    <t>P. 7,5m</t>
  </si>
  <si>
    <t>P. 8,5m</t>
  </si>
  <si>
    <t>P. 9,3m</t>
  </si>
  <si>
    <t>Longarina</t>
  </si>
  <si>
    <t>Telhas de Aluzinc TP 40 #0,50mm, incluido parafusos, Mais Terçamento metálico enrijecido (100x40x15x2,25)mm70cm abas e acessórios</t>
  </si>
  <si>
    <t>Cob+terç</t>
  </si>
  <si>
    <t>Viga B.</t>
  </si>
  <si>
    <t>Viga R.</t>
  </si>
  <si>
    <t>Mat.</t>
  </si>
  <si>
    <t>M.O</t>
  </si>
  <si>
    <t>Mat. + M.O</t>
  </si>
  <si>
    <t xml:space="preserve">Total </t>
  </si>
  <si>
    <t>60 dias</t>
  </si>
  <si>
    <t>Piso de concreto usinado fck 25Mpa (e=10,0cm) com malha de aço Q138 ø4,2mm a cada 10x10cm, polido mecanicamente, incluso lastro de brita 5cm, colocação de lona plastica, barras de transição a cada 50cm, aço ø8,0mm ( Incluso espalhamento do material e compactação)</t>
  </si>
</sst>
</file>

<file path=xl/styles.xml><?xml version="1.0" encoding="utf-8"?>
<styleSheet xmlns="http://schemas.openxmlformats.org/spreadsheetml/2006/main">
  <numFmts count="4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#,##0.000"/>
    <numFmt numFmtId="184" formatCode="&quot;R$ &quot;#,##0.00"/>
    <numFmt numFmtId="185" formatCode="0.0"/>
    <numFmt numFmtId="186" formatCode="_(* #,##0_);_(* \(#,##0\);_(* &quot;-&quot;??_);_(@_)"/>
    <numFmt numFmtId="187" formatCode="_(&quot;R$&quot;* #,##0.00_);_(&quot;R$&quot;* \(#,##0.00\);_(&quot;R$&quot;* &quot;-&quot;??_);_(@_)"/>
    <numFmt numFmtId="188" formatCode="0.0%"/>
    <numFmt numFmtId="189" formatCode="0.000"/>
    <numFmt numFmtId="190" formatCode="_-[$R$-416]\ * #,##0.00_-;\-[$R$-416]\ * #,##0.00_-;_-[$R$-416]\ * &quot;-&quot;??_-;_-@_-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[$-416]dddd\,\ d&quot; de &quot;mmmm&quot; de &quot;yyyy"/>
    <numFmt numFmtId="195" formatCode="&quot;Ativado&quot;;&quot;Ativado&quot;;&quot;Desativado&quot;"/>
    <numFmt numFmtId="196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2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7" fontId="0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179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11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190" fontId="9" fillId="0" borderId="20" xfId="0" applyNumberFormat="1" applyFont="1" applyBorder="1" applyAlignment="1">
      <alignment/>
    </xf>
    <xf numFmtId="178" fontId="2" fillId="0" borderId="0" xfId="47" applyFont="1" applyBorder="1" applyAlignment="1">
      <alignment/>
    </xf>
    <xf numFmtId="178" fontId="2" fillId="0" borderId="11" xfId="47" applyFont="1" applyBorder="1" applyAlignment="1">
      <alignment/>
    </xf>
    <xf numFmtId="178" fontId="9" fillId="0" borderId="10" xfId="47" applyFont="1" applyBorder="1" applyAlignment="1">
      <alignment/>
    </xf>
    <xf numFmtId="178" fontId="9" fillId="0" borderId="20" xfId="47" applyFont="1" applyBorder="1" applyAlignment="1">
      <alignment/>
    </xf>
    <xf numFmtId="178" fontId="7" fillId="0" borderId="21" xfId="47" applyFont="1" applyBorder="1" applyAlignment="1">
      <alignment/>
    </xf>
    <xf numFmtId="178" fontId="0" fillId="0" borderId="17" xfId="47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63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24" xfId="47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178" fontId="0" fillId="0" borderId="26" xfId="47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78" fontId="10" fillId="0" borderId="26" xfId="47" applyFont="1" applyBorder="1" applyAlignment="1">
      <alignment/>
    </xf>
    <xf numFmtId="178" fontId="10" fillId="0" borderId="27" xfId="47" applyFont="1" applyBorder="1" applyAlignment="1">
      <alignment/>
    </xf>
    <xf numFmtId="178" fontId="10" fillId="0" borderId="28" xfId="47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178" fontId="0" fillId="0" borderId="30" xfId="47" applyFont="1" applyBorder="1" applyAlignment="1">
      <alignment horizontal="center" vertical="center"/>
    </xf>
    <xf numFmtId="178" fontId="0" fillId="0" borderId="27" xfId="47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17" xfId="47" applyFont="1" applyBorder="1" applyAlignment="1">
      <alignment vertical="center"/>
    </xf>
    <xf numFmtId="178" fontId="10" fillId="0" borderId="0" xfId="47" applyFont="1" applyBorder="1" applyAlignment="1">
      <alignment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47" applyFont="1" applyBorder="1" applyAlignment="1">
      <alignment horizontal="center" vertical="center"/>
    </xf>
    <xf numFmtId="178" fontId="2" fillId="0" borderId="11" xfId="47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7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0" fontId="0" fillId="0" borderId="11" xfId="0" applyNumberFormat="1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179" fontId="0" fillId="0" borderId="17" xfId="63" applyFont="1" applyBorder="1" applyAlignment="1">
      <alignment horizontal="center" vertical="center"/>
    </xf>
    <xf numFmtId="187" fontId="0" fillId="0" borderId="26" xfId="49" applyFont="1" applyBorder="1" applyAlignment="1">
      <alignment horizontal="center" vertical="center"/>
    </xf>
    <xf numFmtId="179" fontId="0" fillId="0" borderId="40" xfId="63" applyFont="1" applyBorder="1" applyAlignment="1">
      <alignment horizontal="center" vertical="center"/>
    </xf>
    <xf numFmtId="187" fontId="0" fillId="0" borderId="40" xfId="49" applyFont="1" applyBorder="1" applyAlignment="1">
      <alignment horizontal="center" vertical="center"/>
    </xf>
    <xf numFmtId="9" fontId="10" fillId="0" borderId="17" xfId="52" applyFont="1" applyBorder="1" applyAlignment="1">
      <alignment horizontal="center" vertical="center"/>
    </xf>
    <xf numFmtId="179" fontId="0" fillId="0" borderId="21" xfId="63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0" fontId="10" fillId="0" borderId="40" xfId="52" applyNumberFormat="1" applyFont="1" applyBorder="1" applyAlignment="1">
      <alignment horizontal="center" vertical="center"/>
    </xf>
    <xf numFmtId="10" fontId="10" fillId="0" borderId="40" xfId="63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0" fillId="0" borderId="0" xfId="47" applyFont="1" applyAlignment="1">
      <alignment/>
    </xf>
    <xf numFmtId="178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178" fontId="0" fillId="0" borderId="17" xfId="0" applyNumberFormat="1" applyFont="1" applyBorder="1" applyAlignment="1">
      <alignment/>
    </xf>
    <xf numFmtId="171" fontId="0" fillId="0" borderId="17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178" fontId="0" fillId="0" borderId="0" xfId="4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8" fontId="0" fillId="0" borderId="17" xfId="47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8" fontId="0" fillId="0" borderId="24" xfId="47" applyFont="1" applyBorder="1" applyAlignment="1">
      <alignment horizontal="center" vertical="center"/>
    </xf>
    <xf numFmtId="178" fontId="0" fillId="0" borderId="46" xfId="47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48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8" fontId="0" fillId="0" borderId="60" xfId="47" applyFont="1" applyBorder="1" applyAlignment="1">
      <alignment horizontal="center" vertical="center"/>
    </xf>
    <xf numFmtId="178" fontId="0" fillId="0" borderId="28" xfId="47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Cronograma Ginásio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6"/>
  <sheetViews>
    <sheetView tabSelected="1" zoomScale="80" zoomScaleNormal="80" zoomScaleSheetLayoutView="80" zoomScalePageLayoutView="0" workbookViewId="0" topLeftCell="A1">
      <selection activeCell="C45" sqref="C45"/>
    </sheetView>
  </sheetViews>
  <sheetFormatPr defaultColWidth="9.140625" defaultRowHeight="12.75"/>
  <cols>
    <col min="1" max="1" width="15.140625" style="4" customWidth="1"/>
    <col min="2" max="2" width="13.7109375" style="4" customWidth="1"/>
    <col min="3" max="3" width="103.28125" style="4" customWidth="1"/>
    <col min="4" max="4" width="8.140625" style="4" customWidth="1"/>
    <col min="5" max="5" width="7.140625" style="5" customWidth="1"/>
    <col min="6" max="6" width="16.8515625" style="4" customWidth="1"/>
    <col min="7" max="7" width="16.28125" style="4" customWidth="1"/>
    <col min="8" max="8" width="16.57421875" style="4" customWidth="1"/>
    <col min="9" max="10" width="14.28125" style="4" bestFit="1" customWidth="1"/>
    <col min="11" max="11" width="12.57421875" style="4" customWidth="1"/>
    <col min="12" max="17" width="9.140625" style="4" customWidth="1"/>
    <col min="18" max="18" width="9.57421875" style="4" bestFit="1" customWidth="1"/>
    <col min="19" max="19" width="11.7109375" style="4" customWidth="1"/>
    <col min="20" max="20" width="12.140625" style="4" customWidth="1"/>
    <col min="21" max="22" width="9.140625" style="4" customWidth="1"/>
    <col min="23" max="23" width="14.140625" style="4" customWidth="1"/>
    <col min="24" max="24" width="13.421875" style="4" customWidth="1"/>
    <col min="25" max="25" width="13.57421875" style="4" customWidth="1"/>
    <col min="26" max="26" width="11.28125" style="4" customWidth="1"/>
    <col min="27" max="27" width="11.421875" style="4" customWidth="1"/>
    <col min="28" max="16384" width="9.140625" style="4" customWidth="1"/>
  </cols>
  <sheetData>
    <row r="1" spans="2:8" ht="29.25">
      <c r="B1" s="47"/>
      <c r="C1" s="155" t="s">
        <v>15</v>
      </c>
      <c r="D1" s="155"/>
      <c r="E1" s="155"/>
      <c r="F1" s="155"/>
      <c r="G1" s="155"/>
      <c r="H1" s="156"/>
    </row>
    <row r="2" spans="2:8" ht="12" customHeight="1">
      <c r="B2" s="48"/>
      <c r="C2" s="83"/>
      <c r="D2" s="25"/>
      <c r="E2" s="26"/>
      <c r="F2" s="25"/>
      <c r="G2" s="25"/>
      <c r="H2" s="27"/>
    </row>
    <row r="3" spans="2:8" ht="15.75">
      <c r="B3" s="48"/>
      <c r="C3" s="84" t="s">
        <v>27</v>
      </c>
      <c r="D3" s="25"/>
      <c r="E3" s="26"/>
      <c r="F3" s="77"/>
      <c r="G3" s="153" t="s">
        <v>79</v>
      </c>
      <c r="H3" s="154"/>
    </row>
    <row r="4" spans="2:8" ht="15.75">
      <c r="B4" s="48"/>
      <c r="C4" s="84" t="s">
        <v>14</v>
      </c>
      <c r="D4" s="25"/>
      <c r="E4" s="26"/>
      <c r="F4" s="25"/>
      <c r="G4" s="153" t="s">
        <v>78</v>
      </c>
      <c r="H4" s="154"/>
    </row>
    <row r="5" spans="2:8" ht="16.5" thickBot="1">
      <c r="B5" s="48"/>
      <c r="C5" s="85" t="s">
        <v>24</v>
      </c>
      <c r="D5" s="31"/>
      <c r="E5" s="32"/>
      <c r="F5" s="31"/>
      <c r="G5" s="31"/>
      <c r="H5" s="33"/>
    </row>
    <row r="6" spans="2:8" s="3" customFormat="1" ht="6.75" customHeight="1">
      <c r="B6" s="152"/>
      <c r="C6" s="83"/>
      <c r="D6" s="28"/>
      <c r="E6" s="28"/>
      <c r="F6" s="28"/>
      <c r="G6" s="28"/>
      <c r="H6" s="29"/>
    </row>
    <row r="7" spans="2:8" s="3" customFormat="1" ht="3.75" customHeight="1">
      <c r="B7" s="152"/>
      <c r="C7" s="83"/>
      <c r="D7" s="28"/>
      <c r="E7" s="28"/>
      <c r="F7" s="28"/>
      <c r="G7" s="28"/>
      <c r="H7" s="29"/>
    </row>
    <row r="8" spans="2:8" s="3" customFormat="1" ht="12.75">
      <c r="B8" s="152"/>
      <c r="C8" s="86" t="s">
        <v>0</v>
      </c>
      <c r="D8" s="24" t="s">
        <v>1</v>
      </c>
      <c r="E8" s="24" t="s">
        <v>28</v>
      </c>
      <c r="F8" s="24" t="s">
        <v>29</v>
      </c>
      <c r="G8" s="24" t="s">
        <v>7</v>
      </c>
      <c r="H8" s="30" t="s">
        <v>3</v>
      </c>
    </row>
    <row r="9" spans="2:26" s="3" customFormat="1" ht="12.75">
      <c r="B9" s="152"/>
      <c r="C9" s="86"/>
      <c r="D9" s="24"/>
      <c r="E9" s="24"/>
      <c r="F9" s="24"/>
      <c r="G9" s="24"/>
      <c r="H9" s="30"/>
      <c r="W9" s="109" t="s">
        <v>90</v>
      </c>
      <c r="X9" s="109" t="s">
        <v>91</v>
      </c>
      <c r="Y9" s="109" t="s">
        <v>92</v>
      </c>
      <c r="Z9" s="109"/>
    </row>
    <row r="10" spans="2:25" ht="12.75">
      <c r="B10" s="152"/>
      <c r="C10" s="86" t="s">
        <v>17</v>
      </c>
      <c r="D10" s="12"/>
      <c r="E10" s="9"/>
      <c r="F10" s="8"/>
      <c r="G10" s="13"/>
      <c r="H10" s="92"/>
      <c r="U10" s="5"/>
      <c r="V10" s="112" t="s">
        <v>93</v>
      </c>
      <c r="W10" s="110">
        <v>2600</v>
      </c>
      <c r="X10" s="110">
        <v>5000</v>
      </c>
      <c r="Y10" s="111">
        <f aca="true" t="shared" si="0" ref="Y10:Y17">AVERAGE(W10,X10)</f>
        <v>3800</v>
      </c>
    </row>
    <row r="11" spans="2:25" ht="13.5" customHeight="1">
      <c r="B11" s="152"/>
      <c r="C11" s="86"/>
      <c r="D11" s="12"/>
      <c r="E11" s="9"/>
      <c r="F11" s="8"/>
      <c r="G11" s="13"/>
      <c r="H11" s="14"/>
      <c r="V11" s="4" t="s">
        <v>94</v>
      </c>
      <c r="W11" s="110">
        <v>1100</v>
      </c>
      <c r="X11" s="110">
        <v>1804.69</v>
      </c>
      <c r="Y11" s="111">
        <f t="shared" si="0"/>
        <v>1452.345</v>
      </c>
    </row>
    <row r="12" spans="2:25" ht="12.75" customHeight="1">
      <c r="B12" s="79" t="s">
        <v>34</v>
      </c>
      <c r="C12" s="12" t="s">
        <v>18</v>
      </c>
      <c r="D12" s="8">
        <v>8</v>
      </c>
      <c r="E12" s="9" t="s">
        <v>5</v>
      </c>
      <c r="F12" s="36">
        <f>171*1.208</f>
        <v>206.56799999999998</v>
      </c>
      <c r="G12" s="36">
        <f>779*1.208</f>
        <v>941.0319999999999</v>
      </c>
      <c r="H12" s="37">
        <f aca="true" t="shared" si="1" ref="H12:H19">(D12*F12)+(D12*G12)</f>
        <v>9180.8</v>
      </c>
      <c r="I12" s="110"/>
      <c r="V12" s="4" t="s">
        <v>95</v>
      </c>
      <c r="W12" s="110">
        <v>1229.8</v>
      </c>
      <c r="X12" s="110">
        <v>2045.31</v>
      </c>
      <c r="Y12" s="111">
        <f t="shared" si="0"/>
        <v>1637.5549999999998</v>
      </c>
    </row>
    <row r="13" spans="2:25" ht="12.75">
      <c r="B13" s="79" t="s">
        <v>34</v>
      </c>
      <c r="C13" s="12" t="s">
        <v>19</v>
      </c>
      <c r="D13" s="8">
        <v>2</v>
      </c>
      <c r="E13" s="9" t="s">
        <v>5</v>
      </c>
      <c r="F13" s="36">
        <f>165.14*1.208</f>
        <v>199.48911999999999</v>
      </c>
      <c r="G13" s="36">
        <f>1287.21*1.208</f>
        <v>1554.94968</v>
      </c>
      <c r="H13" s="37">
        <f t="shared" si="1"/>
        <v>3508.8776</v>
      </c>
      <c r="I13" s="110"/>
      <c r="V13" s="4" t="s">
        <v>96</v>
      </c>
      <c r="W13" s="110">
        <v>2533</v>
      </c>
      <c r="X13" s="110">
        <v>4557</v>
      </c>
      <c r="Y13" s="111">
        <f t="shared" si="0"/>
        <v>3545</v>
      </c>
    </row>
    <row r="14" spans="2:25" ht="12.75">
      <c r="B14" s="79" t="s">
        <v>34</v>
      </c>
      <c r="C14" s="12" t="s">
        <v>20</v>
      </c>
      <c r="D14" s="8">
        <v>2</v>
      </c>
      <c r="E14" s="9" t="s">
        <v>5</v>
      </c>
      <c r="F14" s="36">
        <f>166.22*1.208</f>
        <v>200.79376</v>
      </c>
      <c r="G14" s="36">
        <f>1471.34*1.208</f>
        <v>1777.37872</v>
      </c>
      <c r="H14" s="37">
        <f>(D14*F14)+(D14*G14)</f>
        <v>3956.34496</v>
      </c>
      <c r="I14" s="110"/>
      <c r="V14" s="4" t="s">
        <v>97</v>
      </c>
      <c r="W14" s="110">
        <v>2608</v>
      </c>
      <c r="X14" s="110">
        <v>1620</v>
      </c>
      <c r="Y14" s="111">
        <f t="shared" si="0"/>
        <v>2114</v>
      </c>
    </row>
    <row r="15" spans="2:25" ht="12.75">
      <c r="B15" s="79" t="s">
        <v>34</v>
      </c>
      <c r="C15" s="12" t="s">
        <v>25</v>
      </c>
      <c r="D15" s="8">
        <v>4</v>
      </c>
      <c r="E15" s="9" t="s">
        <v>5</v>
      </c>
      <c r="F15" s="36">
        <f>189.66*1.208</f>
        <v>229.10927999999998</v>
      </c>
      <c r="G15" s="36">
        <f>1582.84*1.208</f>
        <v>1912.07072</v>
      </c>
      <c r="H15" s="37">
        <f t="shared" si="1"/>
        <v>8564.72</v>
      </c>
      <c r="I15" s="110"/>
      <c r="V15" s="4" t="s">
        <v>99</v>
      </c>
      <c r="W15" s="110">
        <v>6840.5</v>
      </c>
      <c r="X15" s="110">
        <v>9292.5</v>
      </c>
      <c r="Y15" s="111">
        <f t="shared" si="0"/>
        <v>8066.5</v>
      </c>
    </row>
    <row r="16" spans="2:25" ht="12.75">
      <c r="B16" s="79" t="s">
        <v>34</v>
      </c>
      <c r="C16" s="12" t="s">
        <v>21</v>
      </c>
      <c r="D16" s="8">
        <v>4</v>
      </c>
      <c r="E16" s="9" t="s">
        <v>5</v>
      </c>
      <c r="F16" s="36">
        <f>113.94*1.208</f>
        <v>137.63952</v>
      </c>
      <c r="G16" s="36">
        <f>943.06*1.208</f>
        <v>1139.2164799999998</v>
      </c>
      <c r="H16" s="37">
        <f t="shared" si="1"/>
        <v>5107.423999999999</v>
      </c>
      <c r="I16" s="110"/>
      <c r="V16" s="4" t="s">
        <v>100</v>
      </c>
      <c r="W16" s="110">
        <v>3137.6</v>
      </c>
      <c r="X16" s="110">
        <v>3267.84</v>
      </c>
      <c r="Y16" s="111">
        <f t="shared" si="0"/>
        <v>3202.7200000000003</v>
      </c>
    </row>
    <row r="17" spans="2:25" ht="12.75">
      <c r="B17" s="79" t="s">
        <v>34</v>
      </c>
      <c r="C17" s="12" t="s">
        <v>22</v>
      </c>
      <c r="D17" s="8">
        <v>47.36</v>
      </c>
      <c r="E17" s="9" t="s">
        <v>6</v>
      </c>
      <c r="F17" s="36">
        <f>22.48*1.208</f>
        <v>27.15584</v>
      </c>
      <c r="G17" s="36">
        <f>112.77*1.208</f>
        <v>136.22616</v>
      </c>
      <c r="H17" s="37">
        <f t="shared" si="1"/>
        <v>7737.77152</v>
      </c>
      <c r="I17" s="110"/>
      <c r="V17" s="4" t="s">
        <v>101</v>
      </c>
      <c r="W17" s="110">
        <v>2952.9</v>
      </c>
      <c r="X17" s="110">
        <v>2450.88</v>
      </c>
      <c r="Y17" s="111">
        <f t="shared" si="0"/>
        <v>2701.8900000000003</v>
      </c>
    </row>
    <row r="18" spans="2:9" ht="12.75">
      <c r="B18" s="79" t="s">
        <v>34</v>
      </c>
      <c r="C18" s="12" t="s">
        <v>26</v>
      </c>
      <c r="D18" s="8">
        <v>47.36</v>
      </c>
      <c r="E18" s="9" t="s">
        <v>6</v>
      </c>
      <c r="F18" s="36">
        <f>20.13*1.208</f>
        <v>24.31704</v>
      </c>
      <c r="G18" s="36">
        <f>93.97*1.208</f>
        <v>113.51576</v>
      </c>
      <c r="H18" s="37">
        <f t="shared" si="1"/>
        <v>6527.761408</v>
      </c>
      <c r="I18" s="110"/>
    </row>
    <row r="19" spans="2:26" ht="12.75">
      <c r="B19" s="79" t="s">
        <v>34</v>
      </c>
      <c r="C19" s="12" t="s">
        <v>98</v>
      </c>
      <c r="D19" s="8">
        <v>177</v>
      </c>
      <c r="E19" s="9" t="s">
        <v>4</v>
      </c>
      <c r="F19" s="36">
        <f>15.19*1.208</f>
        <v>18.34952</v>
      </c>
      <c r="G19" s="36">
        <f>75.96*1.208</f>
        <v>91.75967999999999</v>
      </c>
      <c r="H19" s="37">
        <f t="shared" si="1"/>
        <v>19489.3284</v>
      </c>
      <c r="I19" s="110"/>
      <c r="J19" s="117"/>
      <c r="W19" s="5" t="s">
        <v>102</v>
      </c>
      <c r="X19" s="5" t="s">
        <v>103</v>
      </c>
      <c r="Y19" s="116" t="s">
        <v>104</v>
      </c>
      <c r="Z19" s="116" t="s">
        <v>105</v>
      </c>
    </row>
    <row r="20" spans="2:27" ht="12.75">
      <c r="B20" s="79"/>
      <c r="C20" s="87" t="s">
        <v>3</v>
      </c>
      <c r="D20" s="6"/>
      <c r="E20" s="7"/>
      <c r="F20" s="38">
        <f>SUMPRODUCT(D12:D19,F12:F19)</f>
        <v>9605.725596799999</v>
      </c>
      <c r="G20" s="38">
        <f>SUMPRODUCT(D12:D19,G12:G19)</f>
        <v>54467.30229119999</v>
      </c>
      <c r="H20" s="39">
        <f>SUM(H12:H19)</f>
        <v>64073.027888</v>
      </c>
      <c r="W20" s="45">
        <f>Y10*0.205</f>
        <v>779</v>
      </c>
      <c r="X20" s="45">
        <f>W20*0.219512</f>
        <v>170.99984800000001</v>
      </c>
      <c r="Y20" s="114">
        <f aca="true" t="shared" si="2" ref="Y20:Y27">SUM(W20,X20)</f>
        <v>949.999848</v>
      </c>
      <c r="Z20" s="115">
        <f>Y20*8</f>
        <v>7599.998784</v>
      </c>
      <c r="AA20" s="113">
        <f>Z20*1.208</f>
        <v>9180.798531072</v>
      </c>
    </row>
    <row r="21" spans="2:27" s="3" customFormat="1" ht="12.75">
      <c r="B21" s="78"/>
      <c r="C21" s="86"/>
      <c r="D21" s="24"/>
      <c r="E21" s="24"/>
      <c r="F21" s="24"/>
      <c r="G21" s="24"/>
      <c r="H21" s="30"/>
      <c r="W21" s="45">
        <f>Y11*0.8863</f>
        <v>1287.2133735</v>
      </c>
      <c r="X21" s="45">
        <f>W21*0.12829</f>
        <v>165.13660368631497</v>
      </c>
      <c r="Y21" s="114">
        <f t="shared" si="2"/>
        <v>1452.3499771863148</v>
      </c>
      <c r="Z21" s="115">
        <f>Y21*2</f>
        <v>2904.6999543726297</v>
      </c>
      <c r="AA21" s="113">
        <f aca="true" t="shared" si="3" ref="AA21:AA27">Z21*1.208</f>
        <v>3508.8775448821366</v>
      </c>
    </row>
    <row r="22" spans="2:27" s="3" customFormat="1" ht="13.5" thickBot="1">
      <c r="B22" s="78"/>
      <c r="C22" s="86" t="s">
        <v>33</v>
      </c>
      <c r="D22" s="24" t="s">
        <v>1</v>
      </c>
      <c r="E22" s="24" t="s">
        <v>28</v>
      </c>
      <c r="F22" s="24" t="s">
        <v>29</v>
      </c>
      <c r="G22" s="24" t="s">
        <v>7</v>
      </c>
      <c r="H22" s="30" t="s">
        <v>3</v>
      </c>
      <c r="W22" s="45">
        <f>Y12*0.8985</f>
        <v>1471.3431674999997</v>
      </c>
      <c r="X22" s="45">
        <f>W22*0.11297</f>
        <v>166.21763763247498</v>
      </c>
      <c r="Y22" s="114">
        <f t="shared" si="2"/>
        <v>1637.5608051324748</v>
      </c>
      <c r="Z22" s="115">
        <f>Y22*2</f>
        <v>3275.1216102649496</v>
      </c>
      <c r="AA22" s="113">
        <f t="shared" si="3"/>
        <v>3956.346905200059</v>
      </c>
    </row>
    <row r="23" spans="2:27" s="3" customFormat="1" ht="13.5" thickBot="1">
      <c r="B23" s="78" t="s">
        <v>35</v>
      </c>
      <c r="C23" s="12" t="s">
        <v>31</v>
      </c>
      <c r="D23" s="8">
        <v>28</v>
      </c>
      <c r="E23" s="9" t="s">
        <v>4</v>
      </c>
      <c r="F23" s="40">
        <f>1.208*27.02</f>
        <v>32.64016</v>
      </c>
      <c r="G23" s="40">
        <f>1.208*28.9</f>
        <v>34.911199999999994</v>
      </c>
      <c r="H23" s="41">
        <f>(D23*F23)+(D23*G23)</f>
        <v>1891.43808</v>
      </c>
      <c r="K23" s="143" t="s">
        <v>60</v>
      </c>
      <c r="L23" s="144"/>
      <c r="M23" s="144"/>
      <c r="N23" s="144"/>
      <c r="O23" s="144"/>
      <c r="P23" s="144"/>
      <c r="Q23" s="144"/>
      <c r="R23" s="144"/>
      <c r="S23" s="144"/>
      <c r="T23" s="145"/>
      <c r="W23" s="45">
        <f>Y13*0.4465</f>
        <v>1582.8425</v>
      </c>
      <c r="X23" s="45">
        <f>W23*0.11982</f>
        <v>189.65618834999998</v>
      </c>
      <c r="Y23" s="114">
        <f t="shared" si="2"/>
        <v>1772.49868835</v>
      </c>
      <c r="Z23" s="115">
        <f>Y23*4</f>
        <v>7089.9947534</v>
      </c>
      <c r="AA23" s="113">
        <f t="shared" si="3"/>
        <v>8564.7136621072</v>
      </c>
    </row>
    <row r="24" spans="2:27" s="3" customFormat="1" ht="12.75">
      <c r="B24" s="78" t="s">
        <v>55</v>
      </c>
      <c r="C24" s="12" t="s">
        <v>77</v>
      </c>
      <c r="D24" s="8">
        <v>197.22</v>
      </c>
      <c r="E24" s="9" t="s">
        <v>4</v>
      </c>
      <c r="F24" s="40">
        <f>T62*1.208</f>
        <v>25.456788000000003</v>
      </c>
      <c r="G24" s="40">
        <f>T61*1.208</f>
        <v>40.813347872</v>
      </c>
      <c r="H24" s="41">
        <f>(D24*F24)+(D24*G24)</f>
        <v>13069.796196675841</v>
      </c>
      <c r="K24" s="64" t="s">
        <v>52</v>
      </c>
      <c r="L24" s="129" t="s">
        <v>38</v>
      </c>
      <c r="M24" s="129"/>
      <c r="N24" s="129"/>
      <c r="O24" s="129"/>
      <c r="P24" s="129"/>
      <c r="Q24" s="65" t="s">
        <v>39</v>
      </c>
      <c r="R24" s="65" t="s">
        <v>40</v>
      </c>
      <c r="S24" s="65" t="s">
        <v>41</v>
      </c>
      <c r="T24" s="66" t="s">
        <v>42</v>
      </c>
      <c r="W24" s="45">
        <f>Y14*0.4461</f>
        <v>943.0554</v>
      </c>
      <c r="X24" s="45">
        <f>W24*0.120825</f>
        <v>113.944668705</v>
      </c>
      <c r="Y24" s="114">
        <f t="shared" si="2"/>
        <v>1057.0000687049999</v>
      </c>
      <c r="Z24" s="115">
        <f>Y24*4</f>
        <v>4228.0002748199995</v>
      </c>
      <c r="AA24" s="113">
        <f t="shared" si="3"/>
        <v>5107.424331982559</v>
      </c>
    </row>
    <row r="25" spans="2:27" s="3" customFormat="1" ht="12.75">
      <c r="B25" s="78"/>
      <c r="C25" s="87" t="s">
        <v>3</v>
      </c>
      <c r="D25" s="6"/>
      <c r="E25" s="7"/>
      <c r="F25" s="42">
        <f>(F24*D24)+(F23*D23)</f>
        <v>5934.51220936</v>
      </c>
      <c r="G25" s="42">
        <f>(G24*D24)+(G23*D23)</f>
        <v>9026.72206731584</v>
      </c>
      <c r="H25" s="43">
        <f>SUM(F25,G25)</f>
        <v>14961.234276675841</v>
      </c>
      <c r="K25" s="53" t="s">
        <v>62</v>
      </c>
      <c r="L25" s="20" t="s">
        <v>63</v>
      </c>
      <c r="M25" s="20"/>
      <c r="N25" s="20"/>
      <c r="O25" s="20"/>
      <c r="P25" s="20"/>
      <c r="Q25" s="49" t="s">
        <v>4</v>
      </c>
      <c r="R25" s="50">
        <v>1</v>
      </c>
      <c r="S25" s="45">
        <v>13.75</v>
      </c>
      <c r="T25" s="54">
        <f>R25*S25</f>
        <v>13.75</v>
      </c>
      <c r="W25" s="45">
        <f>Y15*0.0094162</f>
        <v>75.9557773</v>
      </c>
      <c r="X25" s="45">
        <f>W25*0.2</f>
        <v>15.19115546</v>
      </c>
      <c r="Y25" s="114">
        <f t="shared" si="2"/>
        <v>91.14693276</v>
      </c>
      <c r="Z25" s="115">
        <f>Y25*177</f>
        <v>16133.00709852</v>
      </c>
      <c r="AA25" s="113">
        <f t="shared" si="3"/>
        <v>19488.67257501216</v>
      </c>
    </row>
    <row r="26" spans="2:27" s="3" customFormat="1" ht="12.75">
      <c r="B26" s="152" t="s">
        <v>74</v>
      </c>
      <c r="C26" s="13"/>
      <c r="D26" s="13"/>
      <c r="E26" s="34"/>
      <c r="F26" s="34"/>
      <c r="G26" s="34"/>
      <c r="H26" s="35"/>
      <c r="K26" s="171" t="s">
        <v>64</v>
      </c>
      <c r="L26" s="126" t="s">
        <v>65</v>
      </c>
      <c r="M26" s="126"/>
      <c r="N26" s="126"/>
      <c r="O26" s="126"/>
      <c r="P26" s="126"/>
      <c r="Q26" s="128" t="s">
        <v>61</v>
      </c>
      <c r="R26" s="128">
        <v>0.1</v>
      </c>
      <c r="S26" s="132">
        <v>320.12</v>
      </c>
      <c r="T26" s="181">
        <f>S26*R26</f>
        <v>32.012</v>
      </c>
      <c r="W26" s="45">
        <f>Y16*0.03521</f>
        <v>112.7677712</v>
      </c>
      <c r="X26" s="45">
        <f>W26*0.199369</f>
        <v>22.4823977763728</v>
      </c>
      <c r="Y26" s="114">
        <f t="shared" si="2"/>
        <v>135.2501689763728</v>
      </c>
      <c r="Z26" s="115">
        <f>Y26*47.36</f>
        <v>6405.448002721016</v>
      </c>
      <c r="AA26" s="113">
        <f t="shared" si="3"/>
        <v>7737.781187286987</v>
      </c>
    </row>
    <row r="27" spans="2:27" s="3" customFormat="1" ht="12.75">
      <c r="B27" s="152"/>
      <c r="C27" s="86" t="s">
        <v>32</v>
      </c>
      <c r="D27" s="24" t="s">
        <v>1</v>
      </c>
      <c r="E27" s="24" t="s">
        <v>28</v>
      </c>
      <c r="F27" s="24" t="s">
        <v>29</v>
      </c>
      <c r="G27" s="24" t="s">
        <v>7</v>
      </c>
      <c r="H27" s="30" t="s">
        <v>3</v>
      </c>
      <c r="K27" s="172"/>
      <c r="L27" s="126"/>
      <c r="M27" s="126"/>
      <c r="N27" s="126"/>
      <c r="O27" s="126"/>
      <c r="P27" s="126"/>
      <c r="Q27" s="128"/>
      <c r="R27" s="128"/>
      <c r="S27" s="132"/>
      <c r="T27" s="182"/>
      <c r="W27" s="45">
        <f>Y17*0.03478</f>
        <v>93.9717342</v>
      </c>
      <c r="X27" s="45">
        <f>W27*0.214195</f>
        <v>20.128275606968998</v>
      </c>
      <c r="Y27" s="114">
        <f t="shared" si="2"/>
        <v>114.100009806969</v>
      </c>
      <c r="Z27" s="115">
        <f>Y27*47.36</f>
        <v>5403.776464458052</v>
      </c>
      <c r="AA27" s="113">
        <f t="shared" si="3"/>
        <v>6527.761969065326</v>
      </c>
    </row>
    <row r="28" spans="2:20" ht="38.25" customHeight="1">
      <c r="B28" s="152"/>
      <c r="C28" s="88" t="s">
        <v>107</v>
      </c>
      <c r="D28" s="73">
        <v>144.8</v>
      </c>
      <c r="E28" s="74" t="s">
        <v>4</v>
      </c>
      <c r="F28" s="75">
        <f>T39*1.208</f>
        <v>27.115372</v>
      </c>
      <c r="G28" s="75">
        <f>T38*1.208</f>
        <v>92.46249440000001</v>
      </c>
      <c r="H28" s="76">
        <f>(G28+F28)*D28</f>
        <v>17314.875054720003</v>
      </c>
      <c r="K28" s="46" t="s">
        <v>66</v>
      </c>
      <c r="L28" s="168" t="s">
        <v>67</v>
      </c>
      <c r="M28" s="169"/>
      <c r="N28" s="169"/>
      <c r="O28" s="169"/>
      <c r="P28" s="170"/>
      <c r="Q28" s="46" t="s">
        <v>61</v>
      </c>
      <c r="R28" s="46">
        <v>0.05</v>
      </c>
      <c r="S28" s="45">
        <v>76.54</v>
      </c>
      <c r="T28" s="68">
        <f>S28*R28</f>
        <v>3.8270000000000004</v>
      </c>
    </row>
    <row r="29" spans="2:26" ht="12.75">
      <c r="B29" s="152"/>
      <c r="C29" s="87" t="s">
        <v>3</v>
      </c>
      <c r="D29" s="6"/>
      <c r="E29" s="7"/>
      <c r="F29" s="42">
        <f>F28*D28</f>
        <v>3926.3058656000003</v>
      </c>
      <c r="G29" s="42">
        <f>G28*D28</f>
        <v>13388.569189120002</v>
      </c>
      <c r="H29" s="43">
        <f>SUM(F29,G29)</f>
        <v>17314.875054720003</v>
      </c>
      <c r="K29" s="128" t="s">
        <v>68</v>
      </c>
      <c r="L29" s="126" t="s">
        <v>69</v>
      </c>
      <c r="M29" s="126"/>
      <c r="N29" s="126"/>
      <c r="O29" s="126"/>
      <c r="P29" s="126"/>
      <c r="Q29" s="128" t="s">
        <v>4</v>
      </c>
      <c r="R29" s="128">
        <v>1</v>
      </c>
      <c r="S29" s="132">
        <v>4.48</v>
      </c>
      <c r="T29" s="132">
        <f>S29*R29</f>
        <v>4.48</v>
      </c>
      <c r="X29" s="113"/>
      <c r="Y29" s="113"/>
      <c r="Z29" s="113"/>
    </row>
    <row r="30" spans="2:26" ht="12.75">
      <c r="B30" s="78"/>
      <c r="C30" s="86" t="s">
        <v>80</v>
      </c>
      <c r="D30" s="24" t="s">
        <v>1</v>
      </c>
      <c r="E30" s="24" t="s">
        <v>28</v>
      </c>
      <c r="F30" s="24" t="s">
        <v>29</v>
      </c>
      <c r="G30" s="24" t="s">
        <v>7</v>
      </c>
      <c r="H30" s="30" t="s">
        <v>3</v>
      </c>
      <c r="K30" s="128"/>
      <c r="L30" s="126"/>
      <c r="M30" s="126"/>
      <c r="N30" s="126"/>
      <c r="O30" s="126"/>
      <c r="P30" s="126"/>
      <c r="Q30" s="128"/>
      <c r="R30" s="128"/>
      <c r="S30" s="132"/>
      <c r="T30" s="132"/>
      <c r="X30" s="113"/>
      <c r="Y30" s="113"/>
      <c r="Z30" s="113"/>
    </row>
    <row r="31" spans="2:20" ht="12.75">
      <c r="B31" s="78" t="s">
        <v>75</v>
      </c>
      <c r="C31" s="12" t="s">
        <v>76</v>
      </c>
      <c r="D31" s="73">
        <v>144.8</v>
      </c>
      <c r="E31" s="9" t="s">
        <v>4</v>
      </c>
      <c r="F31" s="40">
        <f>1.208*1.92</f>
        <v>2.3193599999999996</v>
      </c>
      <c r="G31" s="40">
        <f>1.208*0.14</f>
        <v>0.16912000000000002</v>
      </c>
      <c r="H31" s="41">
        <f>(D31*F31)+(D31*G31)</f>
        <v>360.331904</v>
      </c>
      <c r="K31" s="46"/>
      <c r="L31" s="70"/>
      <c r="M31" s="71"/>
      <c r="N31" s="71"/>
      <c r="O31" s="71"/>
      <c r="P31" s="72"/>
      <c r="Q31" s="51"/>
      <c r="R31" s="51"/>
      <c r="S31" s="52"/>
      <c r="T31" s="52"/>
    </row>
    <row r="32" spans="2:20" ht="12.75" customHeight="1">
      <c r="B32" s="78" t="s">
        <v>82</v>
      </c>
      <c r="C32" s="12" t="s">
        <v>83</v>
      </c>
      <c r="D32" s="73">
        <v>1</v>
      </c>
      <c r="E32" s="74" t="s">
        <v>5</v>
      </c>
      <c r="F32" s="40">
        <f>T50*1.208</f>
        <v>146.31296</v>
      </c>
      <c r="G32" s="40">
        <f>T23</f>
        <v>0</v>
      </c>
      <c r="H32" s="41">
        <f>(D32*F32)+(D32*G32)</f>
        <v>146.31296</v>
      </c>
      <c r="K32" s="127" t="s">
        <v>70</v>
      </c>
      <c r="L32" s="133" t="s">
        <v>71</v>
      </c>
      <c r="M32" s="134"/>
      <c r="N32" s="134"/>
      <c r="O32" s="134"/>
      <c r="P32" s="135"/>
      <c r="Q32" s="139" t="s">
        <v>72</v>
      </c>
      <c r="R32" s="139">
        <v>3.16</v>
      </c>
      <c r="S32" s="141">
        <v>4.58</v>
      </c>
      <c r="T32" s="141">
        <f>S32*R32</f>
        <v>14.472800000000001</v>
      </c>
    </row>
    <row r="33" spans="2:20" ht="13.5" thickBot="1">
      <c r="B33" s="80"/>
      <c r="C33" s="87" t="s">
        <v>3</v>
      </c>
      <c r="D33" s="81"/>
      <c r="E33" s="82"/>
      <c r="F33" s="42">
        <f>(F32*D32)+(F31*D31)</f>
        <v>482.156288</v>
      </c>
      <c r="G33" s="42">
        <f>(G32*D32)+(G31*D31)</f>
        <v>24.488576000000005</v>
      </c>
      <c r="H33" s="43">
        <f>SUM(F33,G33)</f>
        <v>506.64486400000004</v>
      </c>
      <c r="K33" s="127"/>
      <c r="L33" s="136"/>
      <c r="M33" s="137"/>
      <c r="N33" s="137"/>
      <c r="O33" s="137"/>
      <c r="P33" s="138"/>
      <c r="Q33" s="140"/>
      <c r="R33" s="140"/>
      <c r="S33" s="142"/>
      <c r="T33" s="142"/>
    </row>
    <row r="34" spans="3:20" ht="16.5" customHeight="1" thickBot="1">
      <c r="C34" s="157" t="s">
        <v>30</v>
      </c>
      <c r="D34" s="158"/>
      <c r="E34" s="158"/>
      <c r="F34" s="44">
        <f>F20+F25+F29+F33</f>
        <v>19948.699959759997</v>
      </c>
      <c r="G34" s="44">
        <f>G20+G25+G33+G29</f>
        <v>76907.08212363583</v>
      </c>
      <c r="H34" s="44">
        <f>SUM(F34+G34)</f>
        <v>96855.78208339582</v>
      </c>
      <c r="K34" s="127" t="s">
        <v>44</v>
      </c>
      <c r="L34" s="126" t="s">
        <v>73</v>
      </c>
      <c r="M34" s="126"/>
      <c r="N34" s="126"/>
      <c r="O34" s="126"/>
      <c r="P34" s="126"/>
      <c r="Q34" s="128" t="s">
        <v>4</v>
      </c>
      <c r="R34" s="128">
        <v>1</v>
      </c>
      <c r="S34" s="132">
        <v>9</v>
      </c>
      <c r="T34" s="132">
        <v>8</v>
      </c>
    </row>
    <row r="35" spans="3:20" ht="15.75">
      <c r="C35" s="1"/>
      <c r="K35" s="127"/>
      <c r="L35" s="126"/>
      <c r="M35" s="126"/>
      <c r="N35" s="126"/>
      <c r="O35" s="126"/>
      <c r="P35" s="126"/>
      <c r="Q35" s="128"/>
      <c r="R35" s="128"/>
      <c r="S35" s="132"/>
      <c r="T35" s="132"/>
    </row>
    <row r="36" spans="3:20" ht="12.75">
      <c r="C36" s="2"/>
      <c r="E36" s="67"/>
      <c r="F36" s="118"/>
      <c r="G36" s="119"/>
      <c r="H36" s="13"/>
      <c r="K36" s="55" t="s">
        <v>49</v>
      </c>
      <c r="L36" s="130" t="s">
        <v>47</v>
      </c>
      <c r="M36" s="130"/>
      <c r="N36" s="130"/>
      <c r="O36" s="130"/>
      <c r="P36" s="130"/>
      <c r="Q36" s="49" t="s">
        <v>48</v>
      </c>
      <c r="R36" s="46">
        <v>0.9</v>
      </c>
      <c r="S36" s="45">
        <v>16.55</v>
      </c>
      <c r="T36" s="54">
        <f>S36*R36</f>
        <v>14.895000000000001</v>
      </c>
    </row>
    <row r="37" spans="3:20" ht="16.5" thickBot="1">
      <c r="C37" s="1"/>
      <c r="E37" s="67"/>
      <c r="F37" s="13"/>
      <c r="G37" s="13"/>
      <c r="H37" s="13"/>
      <c r="K37" s="59" t="s">
        <v>51</v>
      </c>
      <c r="L37" s="131" t="s">
        <v>50</v>
      </c>
      <c r="M37" s="131"/>
      <c r="N37" s="131"/>
      <c r="O37" s="131"/>
      <c r="P37" s="131"/>
      <c r="Q37" s="60" t="s">
        <v>48</v>
      </c>
      <c r="R37" s="61">
        <v>0.55</v>
      </c>
      <c r="S37" s="62">
        <v>13.73</v>
      </c>
      <c r="T37" s="63">
        <f>S37*R37</f>
        <v>7.551500000000001</v>
      </c>
    </row>
    <row r="38" spans="3:20" ht="15.75">
      <c r="C38" s="1"/>
      <c r="E38" s="67"/>
      <c r="F38" s="13"/>
      <c r="G38" s="13"/>
      <c r="H38" s="13"/>
      <c r="K38" s="120" t="s">
        <v>53</v>
      </c>
      <c r="L38" s="121"/>
      <c r="M38" s="121"/>
      <c r="N38" s="121"/>
      <c r="O38" s="121"/>
      <c r="P38" s="121"/>
      <c r="Q38" s="121"/>
      <c r="R38" s="121"/>
      <c r="S38" s="121"/>
      <c r="T38" s="58">
        <f>SUM(T25:T35)</f>
        <v>76.54180000000001</v>
      </c>
    </row>
    <row r="39" spans="3:20" ht="15.75">
      <c r="C39" s="1"/>
      <c r="K39" s="122" t="s">
        <v>56</v>
      </c>
      <c r="L39" s="123"/>
      <c r="M39" s="123"/>
      <c r="N39" s="123"/>
      <c r="O39" s="123"/>
      <c r="P39" s="123"/>
      <c r="Q39" s="123"/>
      <c r="R39" s="123"/>
      <c r="S39" s="123"/>
      <c r="T39" s="56">
        <f>SUM(T36:T37)</f>
        <v>22.4465</v>
      </c>
    </row>
    <row r="40" spans="3:20" ht="16.5" thickBot="1">
      <c r="C40" s="1"/>
      <c r="K40" s="124" t="s">
        <v>54</v>
      </c>
      <c r="L40" s="125"/>
      <c r="M40" s="125"/>
      <c r="N40" s="125"/>
      <c r="O40" s="125"/>
      <c r="P40" s="125"/>
      <c r="Q40" s="125"/>
      <c r="R40" s="125"/>
      <c r="S40" s="125"/>
      <c r="T40" s="57">
        <f>T38+T39</f>
        <v>98.98830000000001</v>
      </c>
    </row>
    <row r="41" ht="12.75">
      <c r="K41" s="4" t="s">
        <v>57</v>
      </c>
    </row>
    <row r="42" spans="11:21" ht="12.75">
      <c r="K42" s="4" t="s">
        <v>59</v>
      </c>
      <c r="U42" s="13"/>
    </row>
    <row r="43" spans="11:21" ht="13.5" thickBot="1">
      <c r="K43" s="121"/>
      <c r="L43" s="121"/>
      <c r="M43" s="121"/>
      <c r="N43" s="121"/>
      <c r="O43" s="121"/>
      <c r="P43" s="121"/>
      <c r="Q43" s="121"/>
      <c r="R43" s="121"/>
      <c r="S43" s="121"/>
      <c r="T43" s="69"/>
      <c r="U43" s="13"/>
    </row>
    <row r="44" spans="11:21" ht="13.5" thickBot="1">
      <c r="K44" s="143" t="s">
        <v>81</v>
      </c>
      <c r="L44" s="144"/>
      <c r="M44" s="144"/>
      <c r="N44" s="144"/>
      <c r="O44" s="144"/>
      <c r="P44" s="144"/>
      <c r="Q44" s="144"/>
      <c r="R44" s="144"/>
      <c r="S44" s="144"/>
      <c r="T44" s="145"/>
      <c r="U44" s="13"/>
    </row>
    <row r="45" spans="11:21" ht="12.75">
      <c r="K45" s="64" t="s">
        <v>52</v>
      </c>
      <c r="L45" s="129" t="s">
        <v>38</v>
      </c>
      <c r="M45" s="129"/>
      <c r="N45" s="129"/>
      <c r="O45" s="129"/>
      <c r="P45" s="129"/>
      <c r="Q45" s="65" t="s">
        <v>39</v>
      </c>
      <c r="R45" s="65" t="s">
        <v>40</v>
      </c>
      <c r="S45" s="65" t="s">
        <v>41</v>
      </c>
      <c r="T45" s="66" t="s">
        <v>42</v>
      </c>
      <c r="U45" s="13"/>
    </row>
    <row r="46" spans="11:21" ht="12.75">
      <c r="K46" s="55" t="s">
        <v>49</v>
      </c>
      <c r="L46" s="130" t="s">
        <v>47</v>
      </c>
      <c r="M46" s="130"/>
      <c r="N46" s="130"/>
      <c r="O46" s="130"/>
      <c r="P46" s="130"/>
      <c r="Q46" s="49" t="s">
        <v>48</v>
      </c>
      <c r="R46" s="46">
        <v>4</v>
      </c>
      <c r="S46" s="45">
        <v>16.55</v>
      </c>
      <c r="T46" s="54">
        <f>S46*R46</f>
        <v>66.2</v>
      </c>
      <c r="U46" s="13"/>
    </row>
    <row r="47" spans="11:21" ht="13.5" thickBot="1">
      <c r="K47" s="59" t="s">
        <v>51</v>
      </c>
      <c r="L47" s="131" t="s">
        <v>50</v>
      </c>
      <c r="M47" s="131"/>
      <c r="N47" s="131"/>
      <c r="O47" s="131"/>
      <c r="P47" s="131"/>
      <c r="Q47" s="60" t="s">
        <v>48</v>
      </c>
      <c r="R47" s="61">
        <v>4</v>
      </c>
      <c r="S47" s="62">
        <v>13.73</v>
      </c>
      <c r="T47" s="63">
        <f>S47*R47</f>
        <v>54.92</v>
      </c>
      <c r="U47" s="13"/>
    </row>
    <row r="48" spans="11:21" ht="12.75">
      <c r="K48" s="120" t="s">
        <v>53</v>
      </c>
      <c r="L48" s="121"/>
      <c r="M48" s="121"/>
      <c r="N48" s="121"/>
      <c r="O48" s="121"/>
      <c r="P48" s="121"/>
      <c r="Q48" s="121"/>
      <c r="R48" s="121"/>
      <c r="S48" s="121"/>
      <c r="T48" s="58"/>
      <c r="U48" s="13"/>
    </row>
    <row r="49" spans="11:21" ht="12.75">
      <c r="K49" s="122" t="s">
        <v>56</v>
      </c>
      <c r="L49" s="123"/>
      <c r="M49" s="123"/>
      <c r="N49" s="123"/>
      <c r="O49" s="123"/>
      <c r="P49" s="123"/>
      <c r="Q49" s="123"/>
      <c r="R49" s="123"/>
      <c r="S49" s="123"/>
      <c r="T49" s="56">
        <f>SUM(T46:T47)</f>
        <v>121.12</v>
      </c>
      <c r="U49" s="13"/>
    </row>
    <row r="50" spans="11:21" ht="13.5" thickBot="1">
      <c r="K50" s="124" t="s">
        <v>54</v>
      </c>
      <c r="L50" s="125"/>
      <c r="M50" s="125"/>
      <c r="N50" s="125"/>
      <c r="O50" s="125"/>
      <c r="P50" s="125"/>
      <c r="Q50" s="125"/>
      <c r="R50" s="125"/>
      <c r="S50" s="125"/>
      <c r="T50" s="57">
        <f>T48+T49</f>
        <v>121.12</v>
      </c>
      <c r="U50" s="13"/>
    </row>
    <row r="51" spans="11:21" ht="12.75">
      <c r="K51" s="4" t="s">
        <v>57</v>
      </c>
      <c r="O51" s="13"/>
      <c r="P51" s="13"/>
      <c r="Q51" s="13"/>
      <c r="R51" s="13"/>
      <c r="S51" s="13"/>
      <c r="T51" s="13"/>
      <c r="U51" s="13"/>
    </row>
    <row r="52" ht="12.75">
      <c r="K52" s="4" t="s">
        <v>59</v>
      </c>
    </row>
    <row r="53" ht="13.5" thickBot="1"/>
    <row r="54" spans="11:20" ht="13.5" thickBot="1">
      <c r="K54" s="143" t="s">
        <v>36</v>
      </c>
      <c r="L54" s="144"/>
      <c r="M54" s="144"/>
      <c r="N54" s="144"/>
      <c r="O54" s="144"/>
      <c r="P54" s="144"/>
      <c r="Q54" s="144"/>
      <c r="R54" s="144"/>
      <c r="S54" s="144"/>
      <c r="T54" s="145"/>
    </row>
    <row r="55" spans="11:20" ht="12.75">
      <c r="K55" s="64" t="s">
        <v>52</v>
      </c>
      <c r="L55" s="159" t="s">
        <v>38</v>
      </c>
      <c r="M55" s="160"/>
      <c r="N55" s="160"/>
      <c r="O55" s="160"/>
      <c r="P55" s="161"/>
      <c r="Q55" s="65" t="s">
        <v>39</v>
      </c>
      <c r="R55" s="65" t="s">
        <v>40</v>
      </c>
      <c r="S55" s="65" t="s">
        <v>41</v>
      </c>
      <c r="T55" s="66" t="s">
        <v>42</v>
      </c>
    </row>
    <row r="56" spans="11:20" ht="12.75">
      <c r="K56" s="53" t="s">
        <v>44</v>
      </c>
      <c r="L56" s="20" t="s">
        <v>37</v>
      </c>
      <c r="M56" s="20"/>
      <c r="N56" s="20"/>
      <c r="O56" s="20"/>
      <c r="P56" s="20"/>
      <c r="Q56" s="49" t="s">
        <v>43</v>
      </c>
      <c r="R56" s="50">
        <v>40</v>
      </c>
      <c r="S56" s="45">
        <v>0.64</v>
      </c>
      <c r="T56" s="54">
        <f>R56*S56</f>
        <v>25.6</v>
      </c>
    </row>
    <row r="57" spans="11:20" ht="12.75">
      <c r="K57" s="179" t="s">
        <v>45</v>
      </c>
      <c r="L57" s="162" t="s">
        <v>46</v>
      </c>
      <c r="M57" s="163"/>
      <c r="N57" s="163"/>
      <c r="O57" s="163"/>
      <c r="P57" s="164"/>
      <c r="Q57" s="139" t="s">
        <v>61</v>
      </c>
      <c r="R57" s="139">
        <v>0.0228</v>
      </c>
      <c r="S57" s="141">
        <v>359.03</v>
      </c>
      <c r="T57" s="181">
        <f>S57*R57</f>
        <v>8.185884</v>
      </c>
    </row>
    <row r="58" spans="11:20" ht="12.75">
      <c r="K58" s="180"/>
      <c r="L58" s="165"/>
      <c r="M58" s="166"/>
      <c r="N58" s="166"/>
      <c r="O58" s="166"/>
      <c r="P58" s="167"/>
      <c r="Q58" s="140"/>
      <c r="R58" s="140"/>
      <c r="S58" s="142"/>
      <c r="T58" s="182"/>
    </row>
    <row r="59" spans="11:20" ht="12.75">
      <c r="K59" s="55" t="s">
        <v>49</v>
      </c>
      <c r="L59" s="176" t="s">
        <v>47</v>
      </c>
      <c r="M59" s="177"/>
      <c r="N59" s="177"/>
      <c r="O59" s="177"/>
      <c r="P59" s="178"/>
      <c r="Q59" s="49" t="s">
        <v>48</v>
      </c>
      <c r="R59" s="46">
        <v>0.9</v>
      </c>
      <c r="S59" s="45">
        <v>16.55</v>
      </c>
      <c r="T59" s="54">
        <f>S59*R59</f>
        <v>14.895000000000001</v>
      </c>
    </row>
    <row r="60" spans="11:20" ht="13.5" thickBot="1">
      <c r="K60" s="59" t="s">
        <v>51</v>
      </c>
      <c r="L60" s="173" t="s">
        <v>50</v>
      </c>
      <c r="M60" s="174"/>
      <c r="N60" s="174"/>
      <c r="O60" s="174"/>
      <c r="P60" s="175"/>
      <c r="Q60" s="60" t="s">
        <v>48</v>
      </c>
      <c r="R60" s="61">
        <v>0.45</v>
      </c>
      <c r="S60" s="62">
        <v>13.73</v>
      </c>
      <c r="T60" s="63">
        <f>S60*R60</f>
        <v>6.1785000000000005</v>
      </c>
    </row>
    <row r="61" spans="11:20" ht="12.75">
      <c r="K61" s="146" t="s">
        <v>53</v>
      </c>
      <c r="L61" s="147"/>
      <c r="M61" s="147"/>
      <c r="N61" s="147"/>
      <c r="O61" s="147"/>
      <c r="P61" s="147"/>
      <c r="Q61" s="147"/>
      <c r="R61" s="147"/>
      <c r="S61" s="148"/>
      <c r="T61" s="58">
        <f>T56+T57</f>
        <v>33.785884</v>
      </c>
    </row>
    <row r="62" spans="11:20" ht="12.75">
      <c r="K62" s="149" t="s">
        <v>56</v>
      </c>
      <c r="L62" s="150"/>
      <c r="M62" s="150"/>
      <c r="N62" s="150"/>
      <c r="O62" s="150"/>
      <c r="P62" s="150"/>
      <c r="Q62" s="150"/>
      <c r="R62" s="150"/>
      <c r="S62" s="151"/>
      <c r="T62" s="56">
        <f>T59+T60</f>
        <v>21.073500000000003</v>
      </c>
    </row>
    <row r="63" spans="11:20" ht="13.5" thickBot="1">
      <c r="K63" s="124" t="s">
        <v>54</v>
      </c>
      <c r="L63" s="125"/>
      <c r="M63" s="125"/>
      <c r="N63" s="125"/>
      <c r="O63" s="125"/>
      <c r="P63" s="125"/>
      <c r="Q63" s="125"/>
      <c r="R63" s="125"/>
      <c r="S63" s="125"/>
      <c r="T63" s="57">
        <f>T61+T62</f>
        <v>54.859384000000006</v>
      </c>
    </row>
    <row r="64" ht="12.75">
      <c r="K64" s="4" t="s">
        <v>57</v>
      </c>
    </row>
    <row r="65" ht="12.75">
      <c r="K65" s="4" t="s">
        <v>58</v>
      </c>
    </row>
    <row r="66" ht="12.75">
      <c r="K66" s="4" t="s">
        <v>59</v>
      </c>
    </row>
  </sheetData>
  <sheetProtection/>
  <mergeCells count="59">
    <mergeCell ref="G3:H3"/>
    <mergeCell ref="L60:P60"/>
    <mergeCell ref="L59:P59"/>
    <mergeCell ref="K57:K58"/>
    <mergeCell ref="T57:T58"/>
    <mergeCell ref="T26:T27"/>
    <mergeCell ref="R57:R58"/>
    <mergeCell ref="S57:S58"/>
    <mergeCell ref="Q26:Q27"/>
    <mergeCell ref="R26:R27"/>
    <mergeCell ref="C1:H1"/>
    <mergeCell ref="C34:E34"/>
    <mergeCell ref="B6:B11"/>
    <mergeCell ref="L55:P55"/>
    <mergeCell ref="L57:P58"/>
    <mergeCell ref="Q57:Q58"/>
    <mergeCell ref="L28:P28"/>
    <mergeCell ref="L24:P24"/>
    <mergeCell ref="K26:K27"/>
    <mergeCell ref="L26:P27"/>
    <mergeCell ref="S26:S27"/>
    <mergeCell ref="K43:S43"/>
    <mergeCell ref="K38:S38"/>
    <mergeCell ref="B26:B29"/>
    <mergeCell ref="G4:H4"/>
    <mergeCell ref="K44:T44"/>
    <mergeCell ref="T29:T30"/>
    <mergeCell ref="R34:R35"/>
    <mergeCell ref="S34:S35"/>
    <mergeCell ref="L36:P36"/>
    <mergeCell ref="K54:T54"/>
    <mergeCell ref="K61:S61"/>
    <mergeCell ref="K62:S62"/>
    <mergeCell ref="K63:S63"/>
    <mergeCell ref="K23:T23"/>
    <mergeCell ref="L29:P30"/>
    <mergeCell ref="K29:K30"/>
    <mergeCell ref="Q29:Q30"/>
    <mergeCell ref="R29:R30"/>
    <mergeCell ref="S29:S30"/>
    <mergeCell ref="K39:S39"/>
    <mergeCell ref="K40:S40"/>
    <mergeCell ref="T34:T35"/>
    <mergeCell ref="K32:K33"/>
    <mergeCell ref="L32:P33"/>
    <mergeCell ref="Q32:Q33"/>
    <mergeCell ref="R32:R33"/>
    <mergeCell ref="S32:S33"/>
    <mergeCell ref="T32:T33"/>
    <mergeCell ref="K48:S48"/>
    <mergeCell ref="K49:S49"/>
    <mergeCell ref="K50:S50"/>
    <mergeCell ref="L34:P35"/>
    <mergeCell ref="K34:K35"/>
    <mergeCell ref="Q34:Q35"/>
    <mergeCell ref="L45:P45"/>
    <mergeCell ref="L46:P46"/>
    <mergeCell ref="L47:P47"/>
    <mergeCell ref="L37:P37"/>
  </mergeCells>
  <printOptions/>
  <pageMargins left="0.2755905511811024" right="0.35433070866141736" top="0.3937007874015748" bottom="0.7480314960629921" header="0.3937007874015748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2.140625" style="0" customWidth="1"/>
    <col min="3" max="3" width="23.8515625" style="0" customWidth="1"/>
    <col min="4" max="4" width="10.57421875" style="0" customWidth="1"/>
    <col min="5" max="5" width="9.140625" style="0" customWidth="1"/>
    <col min="6" max="6" width="10.7109375" style="0" customWidth="1"/>
    <col min="7" max="7" width="8.421875" style="0" customWidth="1"/>
    <col min="8" max="8" width="12.8515625" style="0" customWidth="1"/>
    <col min="9" max="9" width="13.7109375" style="0" bestFit="1" customWidth="1"/>
    <col min="10" max="10" width="9.28125" style="0" bestFit="1" customWidth="1"/>
  </cols>
  <sheetData>
    <row r="1" spans="1:9" ht="13.5" thickBot="1">
      <c r="A1" s="4"/>
      <c r="B1" s="4"/>
      <c r="C1" s="4"/>
      <c r="D1" s="4"/>
      <c r="E1" s="4"/>
      <c r="F1" s="4"/>
      <c r="G1" s="4"/>
      <c r="H1" s="4"/>
      <c r="I1" s="4"/>
    </row>
    <row r="2" spans="1:9" ht="12.75" customHeight="1">
      <c r="A2" s="4"/>
      <c r="B2" s="185" t="s">
        <v>87</v>
      </c>
      <c r="C2" s="186"/>
      <c r="D2" s="186"/>
      <c r="E2" s="186"/>
      <c r="F2" s="186"/>
      <c r="G2" s="186"/>
      <c r="H2" s="187"/>
      <c r="I2" s="4"/>
    </row>
    <row r="3" spans="1:9" ht="12.75">
      <c r="A3" s="4"/>
      <c r="B3" s="188"/>
      <c r="C3" s="189"/>
      <c r="D3" s="189"/>
      <c r="E3" s="189"/>
      <c r="F3" s="189"/>
      <c r="G3" s="189"/>
      <c r="H3" s="190"/>
      <c r="I3" s="4"/>
    </row>
    <row r="4" spans="1:9" ht="12.75">
      <c r="A4" s="4"/>
      <c r="B4" s="93" t="s">
        <v>88</v>
      </c>
      <c r="C4" s="94"/>
      <c r="D4" s="94"/>
      <c r="E4" s="94"/>
      <c r="F4" s="94"/>
      <c r="G4" s="94"/>
      <c r="H4" s="95"/>
      <c r="I4" s="4"/>
    </row>
    <row r="5" spans="1:9" ht="13.5" thickBot="1">
      <c r="A5" s="4"/>
      <c r="B5" s="96" t="s">
        <v>89</v>
      </c>
      <c r="C5" s="97"/>
      <c r="D5" s="97"/>
      <c r="E5" s="97"/>
      <c r="F5" s="97"/>
      <c r="G5" s="97"/>
      <c r="H5" s="98"/>
      <c r="I5" s="4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9" ht="13.5" thickBot="1">
      <c r="A7" s="4"/>
      <c r="B7" s="191" t="s">
        <v>8</v>
      </c>
      <c r="C7" s="192"/>
      <c r="D7" s="192"/>
      <c r="E7" s="192"/>
      <c r="F7" s="192"/>
      <c r="G7" s="192"/>
      <c r="H7" s="193"/>
      <c r="I7" s="4"/>
    </row>
    <row r="8" spans="1:9" ht="13.5" thickBot="1">
      <c r="A8" s="4"/>
      <c r="B8" s="4"/>
      <c r="C8" s="4"/>
      <c r="D8" s="4"/>
      <c r="E8" s="4"/>
      <c r="F8" s="4"/>
      <c r="G8" s="4" t="s">
        <v>16</v>
      </c>
      <c r="H8" s="4"/>
      <c r="I8" s="4"/>
    </row>
    <row r="9" spans="1:9" ht="13.5" thickBot="1">
      <c r="A9" s="4"/>
      <c r="B9" s="15" t="s">
        <v>9</v>
      </c>
      <c r="C9" s="16" t="s">
        <v>10</v>
      </c>
      <c r="D9" s="183" t="s">
        <v>11</v>
      </c>
      <c r="E9" s="184"/>
      <c r="F9" s="183" t="s">
        <v>106</v>
      </c>
      <c r="G9" s="184"/>
      <c r="H9" s="17" t="s">
        <v>2</v>
      </c>
      <c r="I9" s="4"/>
    </row>
    <row r="10" spans="1:9" ht="12.75">
      <c r="A10" s="4"/>
      <c r="B10" s="18" t="s">
        <v>23</v>
      </c>
      <c r="C10" s="19"/>
      <c r="D10" s="100">
        <f>E10*H10</f>
        <v>64073.03</v>
      </c>
      <c r="E10" s="104">
        <v>1</v>
      </c>
      <c r="F10" s="100">
        <f>G10*H10</f>
        <v>0</v>
      </c>
      <c r="G10" s="104">
        <v>0</v>
      </c>
      <c r="H10" s="101">
        <v>64073.03</v>
      </c>
      <c r="I10" s="4"/>
    </row>
    <row r="11" spans="1:9" ht="12.75">
      <c r="A11" s="4"/>
      <c r="B11" s="18" t="s">
        <v>85</v>
      </c>
      <c r="C11" s="19"/>
      <c r="D11" s="100">
        <f>E11*H11</f>
        <v>4488.369</v>
      </c>
      <c r="E11" s="104">
        <v>0.3</v>
      </c>
      <c r="F11" s="100">
        <f>G11*H11</f>
        <v>10472.860999999999</v>
      </c>
      <c r="G11" s="104">
        <v>0.7</v>
      </c>
      <c r="H11" s="101">
        <v>14961.23</v>
      </c>
      <c r="I11" s="4"/>
    </row>
    <row r="12" spans="1:9" ht="12.75">
      <c r="A12" s="4"/>
      <c r="B12" s="18" t="s">
        <v>84</v>
      </c>
      <c r="C12" s="19"/>
      <c r="D12" s="100">
        <f>E12*H12</f>
        <v>12120.416</v>
      </c>
      <c r="E12" s="104">
        <v>0.7</v>
      </c>
      <c r="F12" s="100">
        <f>G12*H12</f>
        <v>5194.464</v>
      </c>
      <c r="G12" s="104">
        <v>0.3</v>
      </c>
      <c r="H12" s="101">
        <v>17314.88</v>
      </c>
      <c r="I12" s="23"/>
    </row>
    <row r="13" spans="1:9" ht="13.5" thickBot="1">
      <c r="A13" s="4"/>
      <c r="B13" s="18" t="s">
        <v>86</v>
      </c>
      <c r="C13" s="19"/>
      <c r="D13" s="100">
        <v>0</v>
      </c>
      <c r="E13" s="104">
        <v>0</v>
      </c>
      <c r="F13" s="100">
        <f>G13*H13</f>
        <v>506.64</v>
      </c>
      <c r="G13" s="104">
        <v>1</v>
      </c>
      <c r="H13" s="101">
        <v>506.64</v>
      </c>
      <c r="I13" s="21"/>
    </row>
    <row r="14" spans="1:9" ht="13.5" thickBot="1">
      <c r="A14" s="4"/>
      <c r="B14" s="22" t="s">
        <v>12</v>
      </c>
      <c r="C14" s="106"/>
      <c r="D14" s="105">
        <f>SUM(D10:D13)</f>
        <v>80681.815</v>
      </c>
      <c r="E14" s="107">
        <f>D14/H14</f>
        <v>0.8330098110820026</v>
      </c>
      <c r="F14" s="102">
        <f>SUM(F10:F13)</f>
        <v>16173.964999999998</v>
      </c>
      <c r="G14" s="107">
        <f>F14/H14</f>
        <v>0.16699018891799744</v>
      </c>
      <c r="H14" s="103">
        <f>SUM(H10:H13)</f>
        <v>96855.78</v>
      </c>
      <c r="I14" s="4"/>
    </row>
    <row r="15" spans="1:9" ht="13.5" thickBot="1">
      <c r="A15" s="4"/>
      <c r="B15" s="22" t="s">
        <v>13</v>
      </c>
      <c r="C15" s="106"/>
      <c r="D15" s="105">
        <f>D14</f>
        <v>80681.815</v>
      </c>
      <c r="E15" s="108">
        <f>E14</f>
        <v>0.8330098110820026</v>
      </c>
      <c r="F15" s="102">
        <f>F14+D15</f>
        <v>96855.78</v>
      </c>
      <c r="G15" s="108">
        <f>G14+E15</f>
        <v>1</v>
      </c>
      <c r="H15" s="103">
        <f>H14</f>
        <v>96855.78</v>
      </c>
      <c r="I15" s="4"/>
    </row>
    <row r="16" spans="1:9" ht="12.75">
      <c r="A16" s="4"/>
      <c r="B16" s="4"/>
      <c r="C16" s="13"/>
      <c r="D16" s="89"/>
      <c r="E16" s="13"/>
      <c r="F16" s="13"/>
      <c r="G16" s="13"/>
      <c r="H16" s="90"/>
      <c r="I16" s="13"/>
    </row>
    <row r="17" spans="1:9" ht="12.75">
      <c r="A17" s="4"/>
      <c r="B17" s="4"/>
      <c r="C17" s="13"/>
      <c r="D17" s="13"/>
      <c r="E17" s="13"/>
      <c r="F17" s="13"/>
      <c r="G17" s="13"/>
      <c r="H17" s="13"/>
      <c r="I17" s="13"/>
    </row>
    <row r="18" spans="1:9" ht="12.75">
      <c r="A18" s="4"/>
      <c r="B18" s="4"/>
      <c r="C18" s="13"/>
      <c r="D18" s="89"/>
      <c r="E18" s="13"/>
      <c r="F18" s="89"/>
      <c r="G18" s="13"/>
      <c r="H18" s="13"/>
      <c r="I18" s="13"/>
    </row>
    <row r="19" spans="1:9" ht="12.75">
      <c r="A19" s="4"/>
      <c r="B19" s="4"/>
      <c r="C19" s="13"/>
      <c r="D19" s="13"/>
      <c r="E19" s="13"/>
      <c r="F19" s="67"/>
      <c r="G19" s="13"/>
      <c r="H19" s="13"/>
      <c r="I19" s="13"/>
    </row>
    <row r="20" spans="1:9" ht="12.75">
      <c r="A20" s="4"/>
      <c r="B20" s="4"/>
      <c r="C20" s="13"/>
      <c r="D20" s="13"/>
      <c r="E20" s="13"/>
      <c r="F20" s="10"/>
      <c r="G20" s="11"/>
      <c r="H20" s="13"/>
      <c r="I20" s="13"/>
    </row>
    <row r="21" spans="1:9" ht="12.75">
      <c r="A21" s="4"/>
      <c r="B21" s="4"/>
      <c r="C21" s="13"/>
      <c r="D21" s="13"/>
      <c r="E21" s="13"/>
      <c r="F21" s="67"/>
      <c r="G21" s="13"/>
      <c r="H21" s="13"/>
      <c r="I21" s="13"/>
    </row>
    <row r="22" spans="1:9" ht="12.75">
      <c r="A22" s="4"/>
      <c r="B22" s="4"/>
      <c r="C22" s="13"/>
      <c r="D22" s="13"/>
      <c r="E22" s="13"/>
      <c r="F22" s="91"/>
      <c r="G22" s="91"/>
      <c r="H22" s="13"/>
      <c r="I22" s="13"/>
    </row>
    <row r="23" spans="1:9" ht="12.75">
      <c r="A23" s="4"/>
      <c r="B23" s="4"/>
      <c r="C23" s="13"/>
      <c r="D23" s="13"/>
      <c r="E23" s="13"/>
      <c r="F23" s="10"/>
      <c r="G23" s="11"/>
      <c r="H23" s="13"/>
      <c r="I23" s="13"/>
    </row>
    <row r="24" spans="1:14" ht="12.75">
      <c r="A24" s="4"/>
      <c r="B24" s="4"/>
      <c r="C24" s="13"/>
      <c r="D24" s="13"/>
      <c r="E24" s="13"/>
      <c r="F24" s="67"/>
      <c r="G24" s="13"/>
      <c r="H24" s="13"/>
      <c r="I24" s="13"/>
      <c r="J24" s="99"/>
      <c r="K24" s="99"/>
      <c r="L24" s="99"/>
      <c r="M24" s="99"/>
      <c r="N24" s="99"/>
    </row>
    <row r="25" spans="1:14" ht="12.75">
      <c r="A25" s="4"/>
      <c r="B25" s="4"/>
      <c r="C25" s="13"/>
      <c r="D25" s="13"/>
      <c r="E25" s="13"/>
      <c r="F25" s="91"/>
      <c r="G25" s="91"/>
      <c r="H25" s="13"/>
      <c r="I25" s="13"/>
      <c r="J25" s="99"/>
      <c r="K25" s="99"/>
      <c r="L25" s="99"/>
      <c r="M25" s="99"/>
      <c r="N25" s="99"/>
    </row>
    <row r="26" spans="1:14" ht="12.75">
      <c r="A26" s="4"/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99"/>
      <c r="M26" s="99"/>
      <c r="N26" s="99"/>
    </row>
    <row r="27" spans="1:14" ht="12.75">
      <c r="A27" s="4"/>
      <c r="B27" s="4"/>
      <c r="C27" s="4"/>
      <c r="D27" s="13"/>
      <c r="E27" s="13"/>
      <c r="F27" s="13"/>
      <c r="G27" s="13"/>
      <c r="H27" s="13"/>
      <c r="I27" s="13"/>
      <c r="J27" s="13"/>
      <c r="K27" s="13"/>
      <c r="L27" s="99"/>
      <c r="M27" s="99"/>
      <c r="N27" s="99"/>
    </row>
    <row r="28" spans="1:14" ht="12.75">
      <c r="A28" s="4"/>
      <c r="B28" s="4"/>
      <c r="C28" s="4"/>
      <c r="D28" s="13"/>
      <c r="E28" s="13"/>
      <c r="F28" s="13"/>
      <c r="G28" s="13"/>
      <c r="H28" s="13"/>
      <c r="I28" s="13"/>
      <c r="J28" s="13"/>
      <c r="K28" s="13"/>
      <c r="L28" s="99"/>
      <c r="M28" s="99"/>
      <c r="N28" s="99"/>
    </row>
    <row r="29" spans="4:14" ht="12.75"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4:14" ht="12.7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4:14" ht="12.75"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4:14" ht="12.75"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</sheetData>
  <sheetProtection/>
  <mergeCells count="4">
    <mergeCell ref="D9:E9"/>
    <mergeCell ref="F9:G9"/>
    <mergeCell ref="B2:H3"/>
    <mergeCell ref="B7:H7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Telmo Fernado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Telmo Fernado</dc:creator>
  <cp:keywords/>
  <dc:description/>
  <cp:lastModifiedBy>Aratiba</cp:lastModifiedBy>
  <cp:lastPrinted>2018-02-19T18:11:59Z</cp:lastPrinted>
  <dcterms:created xsi:type="dcterms:W3CDTF">2003-02-24T12:20:31Z</dcterms:created>
  <dcterms:modified xsi:type="dcterms:W3CDTF">2018-03-14T18:50:30Z</dcterms:modified>
  <cp:category/>
  <cp:version/>
  <cp:contentType/>
  <cp:contentStatus/>
</cp:coreProperties>
</file>