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DeTrabalho"/>
  <bookViews>
    <workbookView xWindow="28680" yWindow="-120" windowWidth="20730" windowHeight="11160" tabRatio="932" activeTab="1"/>
  </bookViews>
  <sheets>
    <sheet name="ORIENTAÇÕES" sheetId="17" r:id="rId1"/>
    <sheet name="RESUMO FINAL " sheetId="11" r:id="rId2"/>
    <sheet name="AUX. MANUT.PREDIAL 40H" sheetId="1" r:id="rId3"/>
    <sheet name="MERENDEIRO 40H" sheetId="4" r:id="rId4"/>
    <sheet name="AUX.LIMPEZA 40H" sheetId="2" r:id="rId5"/>
    <sheet name="AUX.LIMPEZA 30H" sheetId="3" r:id="rId6"/>
    <sheet name="SERVENTE DE LIMPEZA 40H" sheetId="5" r:id="rId7"/>
    <sheet name="RECEPCIONISTA-TELEFONISTA 30H" sheetId="7" r:id="rId8"/>
    <sheet name="EQUIPAMENTO MANUTENÇÃO PREDIAL " sheetId="12" r:id="rId9"/>
    <sheet name="MATERIAL SERV LIMPEZA " sheetId="13" r:id="rId10"/>
    <sheet name="EPI´S" sheetId="15" r:id="rId11"/>
    <sheet name="UNIFORMES" sheetId="16" r:id="rId12"/>
  </sheets>
  <externalReferences>
    <externalReference r:id="rId13"/>
  </externalReferences>
  <definedNames>
    <definedName name="_xlnm.Print_Area" localSheetId="9">'MATERIAL SERV LIMPEZA '!$A$1:$E$60</definedName>
    <definedName name="_xlnm.Print_Area" localSheetId="0">ORIENTAÇÕES!$A$1:$I$7</definedName>
    <definedName name="_xlnm.Print_Area" localSheetId="1">'RESUMO FINAL '!$A$1:$J$45</definedName>
    <definedName name="EPISERVENTE">EPI´S!$H$56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7" i="11" l="1"/>
  <c r="D28" i="11"/>
  <c r="C4" i="5" l="1"/>
  <c r="C4" i="3"/>
  <c r="C4" i="2"/>
  <c r="C4" i="4"/>
  <c r="C4" i="1"/>
  <c r="D26" i="11" l="1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6" i="13"/>
  <c r="B101" i="5"/>
  <c r="B97" i="5"/>
  <c r="B96" i="5"/>
  <c r="C84" i="3"/>
  <c r="C83" i="3"/>
  <c r="B102" i="2"/>
  <c r="D44" i="11" l="1"/>
  <c r="D43" i="11"/>
  <c r="B40" i="4" l="1"/>
  <c r="E13" i="11"/>
  <c r="E12" i="11"/>
  <c r="B22" i="1"/>
  <c r="B22" i="7"/>
  <c r="C22" i="7" s="1"/>
  <c r="E16" i="11" l="1"/>
  <c r="C14" i="11"/>
  <c r="B102" i="7"/>
  <c r="B101" i="7"/>
  <c r="B102" i="5"/>
  <c r="B102" i="3"/>
  <c r="B101" i="3"/>
  <c r="B101" i="2"/>
  <c r="B102" i="4"/>
  <c r="B101" i="4"/>
  <c r="B101" i="1"/>
  <c r="B102" i="1"/>
  <c r="B30" i="13"/>
  <c r="B31" i="13"/>
  <c r="B32" i="13"/>
  <c r="B33" i="13"/>
  <c r="B34" i="13"/>
  <c r="B35" i="13"/>
  <c r="B36" i="13"/>
  <c r="B37" i="13"/>
  <c r="B38" i="13"/>
  <c r="B39" i="13"/>
  <c r="B40" i="13"/>
  <c r="B41" i="13"/>
  <c r="B42" i="13"/>
  <c r="B43" i="13"/>
  <c r="B44" i="13"/>
  <c r="B45" i="13"/>
  <c r="B46" i="13"/>
  <c r="B47" i="13"/>
  <c r="B48" i="13"/>
  <c r="B97" i="7"/>
  <c r="B96" i="7"/>
  <c r="B97" i="3"/>
  <c r="B96" i="3"/>
  <c r="B97" i="2"/>
  <c r="B96" i="2"/>
  <c r="B97" i="1"/>
  <c r="B96" i="1"/>
  <c r="B40" i="3"/>
  <c r="B40" i="7"/>
  <c r="B40" i="5"/>
  <c r="B40" i="2"/>
  <c r="B40" i="1"/>
  <c r="G46" i="16"/>
  <c r="H46" i="16" s="1"/>
  <c r="G45" i="16"/>
  <c r="H45" i="16" s="1"/>
  <c r="G44" i="16"/>
  <c r="H44" i="16" s="1"/>
  <c r="G38" i="16"/>
  <c r="H38" i="16" s="1"/>
  <c r="G37" i="16"/>
  <c r="H37" i="16" s="1"/>
  <c r="G36" i="16"/>
  <c r="H36" i="16" s="1"/>
  <c r="G35" i="16"/>
  <c r="G29" i="16"/>
  <c r="H29" i="16" s="1"/>
  <c r="G28" i="16"/>
  <c r="H28" i="16" s="1"/>
  <c r="G27" i="16"/>
  <c r="G21" i="16"/>
  <c r="H21" i="16" s="1"/>
  <c r="G20" i="16"/>
  <c r="H20" i="16" s="1"/>
  <c r="G19" i="16"/>
  <c r="G13" i="16"/>
  <c r="H13" i="16" s="1"/>
  <c r="G12" i="16"/>
  <c r="H12" i="16" s="1"/>
  <c r="G11" i="16"/>
  <c r="H11" i="16" s="1"/>
  <c r="G6" i="16"/>
  <c r="H6" i="16" s="1"/>
  <c r="G5" i="16"/>
  <c r="H5" i="16" s="1"/>
  <c r="G4" i="16"/>
  <c r="H4" i="16" s="1"/>
  <c r="G3" i="16"/>
  <c r="H3" i="16" s="1"/>
  <c r="H47" i="16" l="1"/>
  <c r="C88" i="7" s="1"/>
  <c r="G30" i="16"/>
  <c r="G39" i="16"/>
  <c r="G22" i="16"/>
  <c r="H27" i="16"/>
  <c r="H30" i="16" s="1"/>
  <c r="C88" i="3" s="1"/>
  <c r="G47" i="16"/>
  <c r="B98" i="1"/>
  <c r="H35" i="16"/>
  <c r="H39" i="16" s="1"/>
  <c r="C88" i="5" s="1"/>
  <c r="H19" i="16"/>
  <c r="H22" i="16" s="1"/>
  <c r="C88" i="2" s="1"/>
  <c r="H14" i="16"/>
  <c r="C88" i="4" s="1"/>
  <c r="G14" i="16"/>
  <c r="H7" i="16"/>
  <c r="C88" i="1" s="1"/>
  <c r="G7" i="16"/>
  <c r="B98" i="7" l="1"/>
  <c r="B98" i="5"/>
  <c r="B98" i="2"/>
  <c r="G7" i="15"/>
  <c r="H7" i="15" s="1"/>
  <c r="G8" i="15"/>
  <c r="H8" i="15" s="1"/>
  <c r="G4" i="15"/>
  <c r="H4" i="15" s="1"/>
  <c r="G5" i="15"/>
  <c r="H5" i="15" s="1"/>
  <c r="G6" i="15"/>
  <c r="H6" i="15" s="1"/>
  <c r="G3" i="15"/>
  <c r="H3" i="15" s="1"/>
  <c r="G52" i="15"/>
  <c r="H52" i="15" s="1"/>
  <c r="G55" i="15"/>
  <c r="H55" i="15" s="1"/>
  <c r="G54" i="15"/>
  <c r="H54" i="15" s="1"/>
  <c r="G53" i="15"/>
  <c r="H53" i="15" s="1"/>
  <c r="G46" i="15"/>
  <c r="H46" i="15" s="1"/>
  <c r="G45" i="15"/>
  <c r="H45" i="15" s="1"/>
  <c r="G44" i="15"/>
  <c r="H44" i="15" s="1"/>
  <c r="G43" i="15"/>
  <c r="H43" i="15" s="1"/>
  <c r="G42" i="15"/>
  <c r="H42" i="15" s="1"/>
  <c r="G41" i="15"/>
  <c r="H41" i="15" s="1"/>
  <c r="G35" i="15"/>
  <c r="H35" i="15" s="1"/>
  <c r="G34" i="15"/>
  <c r="H34" i="15" s="1"/>
  <c r="G33" i="15"/>
  <c r="H33" i="15" s="1"/>
  <c r="G32" i="15"/>
  <c r="H32" i="15" s="1"/>
  <c r="G31" i="15"/>
  <c r="H31" i="15" s="1"/>
  <c r="G30" i="15"/>
  <c r="H30" i="15" s="1"/>
  <c r="H16" i="15"/>
  <c r="H17" i="15"/>
  <c r="H18" i="15"/>
  <c r="H22" i="15"/>
  <c r="H15" i="15"/>
  <c r="G23" i="15"/>
  <c r="H23" i="15" s="1"/>
  <c r="G20" i="15"/>
  <c r="H20" i="15" s="1"/>
  <c r="G19" i="15"/>
  <c r="H19" i="15" s="1"/>
  <c r="G21" i="15"/>
  <c r="H21" i="15" s="1"/>
  <c r="D7" i="12"/>
  <c r="C22" i="12" s="1"/>
  <c r="D8" i="12"/>
  <c r="D9" i="12"/>
  <c r="D10" i="12"/>
  <c r="D11" i="12"/>
  <c r="D12" i="12"/>
  <c r="C27" i="12" s="1"/>
  <c r="D13" i="12"/>
  <c r="D14" i="12"/>
  <c r="D15" i="12"/>
  <c r="D16" i="12"/>
  <c r="D17" i="12"/>
  <c r="C32" i="12" s="1"/>
  <c r="D18" i="12"/>
  <c r="C33" i="12" s="1"/>
  <c r="D6" i="12"/>
  <c r="C21" i="12" s="1"/>
  <c r="A59" i="13"/>
  <c r="A48" i="13"/>
  <c r="A47" i="13"/>
  <c r="A46" i="13"/>
  <c r="A45" i="13"/>
  <c r="A44" i="13"/>
  <c r="A43" i="13"/>
  <c r="A42" i="13"/>
  <c r="A41" i="13"/>
  <c r="A40" i="13"/>
  <c r="A39" i="13"/>
  <c r="A38" i="13"/>
  <c r="A37" i="13"/>
  <c r="A36" i="13"/>
  <c r="A35" i="13"/>
  <c r="A34" i="13"/>
  <c r="A33" i="13"/>
  <c r="A32" i="13"/>
  <c r="A31" i="13"/>
  <c r="A30" i="13"/>
  <c r="B29" i="13"/>
  <c r="A29" i="13"/>
  <c r="C48" i="13"/>
  <c r="C47" i="13"/>
  <c r="C46" i="13"/>
  <c r="C45" i="13"/>
  <c r="C44" i="13"/>
  <c r="C43" i="13"/>
  <c r="C42" i="13"/>
  <c r="C41" i="13"/>
  <c r="C40" i="13"/>
  <c r="C39" i="13"/>
  <c r="C38" i="13"/>
  <c r="C37" i="13"/>
  <c r="C36" i="13"/>
  <c r="C35" i="13"/>
  <c r="C34" i="13"/>
  <c r="C33" i="13"/>
  <c r="C32" i="13"/>
  <c r="C31" i="13"/>
  <c r="C30" i="13"/>
  <c r="C29" i="13"/>
  <c r="C23" i="12"/>
  <c r="C24" i="12"/>
  <c r="C25" i="12"/>
  <c r="C26" i="12"/>
  <c r="C28" i="12"/>
  <c r="C29" i="12"/>
  <c r="C30" i="12"/>
  <c r="A44" i="12"/>
  <c r="B33" i="12"/>
  <c r="A33" i="12"/>
  <c r="B32" i="12"/>
  <c r="A32" i="12"/>
  <c r="C31" i="12"/>
  <c r="B31" i="12"/>
  <c r="A31" i="12"/>
  <c r="B30" i="12"/>
  <c r="A30" i="12"/>
  <c r="B29" i="12"/>
  <c r="A29" i="12"/>
  <c r="B28" i="12"/>
  <c r="A28" i="12"/>
  <c r="B27" i="12"/>
  <c r="A27" i="12"/>
  <c r="B26" i="12"/>
  <c r="A26" i="12"/>
  <c r="B25" i="12"/>
  <c r="A25" i="12"/>
  <c r="B24" i="12"/>
  <c r="A24" i="12"/>
  <c r="B23" i="12"/>
  <c r="A23" i="12"/>
  <c r="B22" i="12"/>
  <c r="A22" i="12"/>
  <c r="B21" i="12"/>
  <c r="A21" i="12"/>
  <c r="C15" i="11"/>
  <c r="C13" i="11"/>
  <c r="C12" i="11"/>
  <c r="C10" i="11"/>
  <c r="C22" i="1"/>
  <c r="F12" i="11" s="1"/>
  <c r="C23" i="1"/>
  <c r="B104" i="7"/>
  <c r="C93" i="7"/>
  <c r="C109" i="7" s="1"/>
  <c r="C87" i="7"/>
  <c r="C95" i="7" s="1"/>
  <c r="C100" i="7" s="1"/>
  <c r="C83" i="7"/>
  <c r="C81" i="7"/>
  <c r="C80" i="7"/>
  <c r="B80" i="7"/>
  <c r="B87" i="7" s="1"/>
  <c r="B106" i="7" s="1"/>
  <c r="B73" i="7"/>
  <c r="B60" i="7"/>
  <c r="B50" i="7"/>
  <c r="B42" i="7"/>
  <c r="B29" i="7"/>
  <c r="C23" i="7"/>
  <c r="C24" i="7"/>
  <c r="B104" i="5"/>
  <c r="C87" i="5"/>
  <c r="C95" i="5" s="1"/>
  <c r="C100" i="5" s="1"/>
  <c r="C83" i="5"/>
  <c r="C84" i="5" s="1"/>
  <c r="C81" i="5"/>
  <c r="C80" i="5"/>
  <c r="B80" i="5"/>
  <c r="B87" i="5" s="1"/>
  <c r="B106" i="5" s="1"/>
  <c r="B73" i="5"/>
  <c r="B60" i="5"/>
  <c r="B50" i="5"/>
  <c r="B42" i="5"/>
  <c r="B59" i="5" s="1"/>
  <c r="B29" i="5"/>
  <c r="C23" i="5"/>
  <c r="C22" i="5"/>
  <c r="C82" i="5" s="1"/>
  <c r="B104" i="4"/>
  <c r="C87" i="4"/>
  <c r="C95" i="4" s="1"/>
  <c r="C100" i="4" s="1"/>
  <c r="C83" i="4"/>
  <c r="C81" i="4"/>
  <c r="C80" i="4"/>
  <c r="B80" i="4"/>
  <c r="B87" i="4" s="1"/>
  <c r="B106" i="4" s="1"/>
  <c r="B73" i="4"/>
  <c r="B60" i="4"/>
  <c r="B50" i="4"/>
  <c r="B42" i="4"/>
  <c r="B59" i="4" s="1"/>
  <c r="B29" i="4"/>
  <c r="C23" i="4"/>
  <c r="C22" i="4"/>
  <c r="B104" i="3"/>
  <c r="C87" i="3"/>
  <c r="C95" i="3" s="1"/>
  <c r="C100" i="3" s="1"/>
  <c r="C81" i="3"/>
  <c r="C80" i="3"/>
  <c r="B80" i="3"/>
  <c r="B87" i="3" s="1"/>
  <c r="B106" i="3" s="1"/>
  <c r="B73" i="3"/>
  <c r="B60" i="3"/>
  <c r="B50" i="3"/>
  <c r="B42" i="3"/>
  <c r="B29" i="3"/>
  <c r="C23" i="3"/>
  <c r="C22" i="3"/>
  <c r="B104" i="2"/>
  <c r="C87" i="2"/>
  <c r="C95" i="2" s="1"/>
  <c r="C100" i="2" s="1"/>
  <c r="C83" i="2"/>
  <c r="C81" i="2"/>
  <c r="C80" i="2"/>
  <c r="B80" i="2"/>
  <c r="B87" i="2" s="1"/>
  <c r="B106" i="2" s="1"/>
  <c r="B73" i="2"/>
  <c r="B60" i="2"/>
  <c r="B50" i="2"/>
  <c r="B42" i="2"/>
  <c r="B51" i="2" s="1"/>
  <c r="B29" i="2"/>
  <c r="C23" i="2"/>
  <c r="C22" i="2"/>
  <c r="C24" i="2" s="1"/>
  <c r="C87" i="1"/>
  <c r="C95" i="1" s="1"/>
  <c r="C100" i="1" s="1"/>
  <c r="C83" i="1"/>
  <c r="C81" i="1"/>
  <c r="C80" i="1"/>
  <c r="B80" i="1"/>
  <c r="B87" i="1" s="1"/>
  <c r="B106" i="1" s="1"/>
  <c r="B73" i="1"/>
  <c r="B60" i="1"/>
  <c r="B50" i="1"/>
  <c r="B42" i="1"/>
  <c r="B29" i="1"/>
  <c r="C24" i="3" l="1"/>
  <c r="C84" i="1"/>
  <c r="C85" i="1"/>
  <c r="C84" i="2"/>
  <c r="C85" i="2"/>
  <c r="B62" i="4"/>
  <c r="C84" i="4"/>
  <c r="C85" i="4" s="1"/>
  <c r="C85" i="5"/>
  <c r="C108" i="5" s="1"/>
  <c r="C85" i="7"/>
  <c r="C84" i="7"/>
  <c r="C24" i="1"/>
  <c r="C26" i="1" s="1"/>
  <c r="C24" i="5"/>
  <c r="B62" i="5"/>
  <c r="G9" i="15"/>
  <c r="H9" i="15"/>
  <c r="C89" i="1" s="1"/>
  <c r="H36" i="15"/>
  <c r="C89" i="2" s="1"/>
  <c r="C93" i="2" s="1"/>
  <c r="C109" i="2" s="1"/>
  <c r="H47" i="15"/>
  <c r="G56" i="15"/>
  <c r="H56" i="15"/>
  <c r="C89" i="5" s="1"/>
  <c r="G47" i="15"/>
  <c r="H24" i="15"/>
  <c r="C89" i="4" s="1"/>
  <c r="C93" i="4" s="1"/>
  <c r="C109" i="4" s="1"/>
  <c r="G36" i="15"/>
  <c r="G24" i="15"/>
  <c r="D29" i="13"/>
  <c r="E29" i="13" s="1"/>
  <c r="D41" i="13"/>
  <c r="E41" i="13" s="1"/>
  <c r="D35" i="13"/>
  <c r="E35" i="13" s="1"/>
  <c r="D31" i="12"/>
  <c r="E31" i="12" s="1"/>
  <c r="D30" i="12"/>
  <c r="E30" i="12" s="1"/>
  <c r="D28" i="12"/>
  <c r="E28" i="12" s="1"/>
  <c r="D27" i="12"/>
  <c r="E27" i="12" s="1"/>
  <c r="D25" i="12"/>
  <c r="E25" i="12" s="1"/>
  <c r="D24" i="12"/>
  <c r="E24" i="12" s="1"/>
  <c r="D22" i="12"/>
  <c r="E22" i="12" s="1"/>
  <c r="D21" i="12"/>
  <c r="E21" i="12" s="1"/>
  <c r="D29" i="12"/>
  <c r="E29" i="12" s="1"/>
  <c r="D23" i="12"/>
  <c r="E23" i="12" s="1"/>
  <c r="D43" i="13"/>
  <c r="E43" i="13" s="1"/>
  <c r="D38" i="13"/>
  <c r="E38" i="13" s="1"/>
  <c r="D45" i="13"/>
  <c r="E45" i="13" s="1"/>
  <c r="D40" i="13"/>
  <c r="E40" i="13" s="1"/>
  <c r="D37" i="13"/>
  <c r="E37" i="13" s="1"/>
  <c r="D32" i="13"/>
  <c r="E32" i="13" s="1"/>
  <c r="D44" i="13"/>
  <c r="E44" i="13" s="1"/>
  <c r="D47" i="13"/>
  <c r="E47" i="13" s="1"/>
  <c r="D30" i="13"/>
  <c r="E30" i="13" s="1"/>
  <c r="D31" i="13"/>
  <c r="E31" i="13" s="1"/>
  <c r="D36" i="13"/>
  <c r="E36" i="13" s="1"/>
  <c r="D33" i="13"/>
  <c r="E33" i="13" s="1"/>
  <c r="D46" i="13"/>
  <c r="E46" i="13" s="1"/>
  <c r="D48" i="13"/>
  <c r="E48" i="13" s="1"/>
  <c r="D34" i="13"/>
  <c r="E34" i="13" s="1"/>
  <c r="D39" i="13"/>
  <c r="E39" i="13" s="1"/>
  <c r="D42" i="13"/>
  <c r="E42" i="13" s="1"/>
  <c r="D33" i="12"/>
  <c r="E33" i="12" s="1"/>
  <c r="D32" i="12"/>
  <c r="E32" i="12" s="1"/>
  <c r="D26" i="12"/>
  <c r="E26" i="12" s="1"/>
  <c r="C106" i="7"/>
  <c r="C115" i="7" s="1"/>
  <c r="C27" i="7"/>
  <c r="C26" i="7"/>
  <c r="C25" i="7"/>
  <c r="C82" i="7"/>
  <c r="B59" i="7"/>
  <c r="B62" i="7" s="1"/>
  <c r="B51" i="7"/>
  <c r="B52" i="7" s="1"/>
  <c r="C25" i="5"/>
  <c r="C106" i="5"/>
  <c r="C116" i="5" s="1"/>
  <c r="C26" i="5"/>
  <c r="C27" i="5"/>
  <c r="B51" i="5"/>
  <c r="B52" i="5" s="1"/>
  <c r="C24" i="4"/>
  <c r="C106" i="4"/>
  <c r="C115" i="4" s="1"/>
  <c r="B51" i="4"/>
  <c r="B52" i="4" s="1"/>
  <c r="C82" i="4"/>
  <c r="C106" i="3"/>
  <c r="C115" i="3" s="1"/>
  <c r="C27" i="3"/>
  <c r="C26" i="3"/>
  <c r="C25" i="3"/>
  <c r="C30" i="3" s="1"/>
  <c r="C82" i="3"/>
  <c r="B59" i="3"/>
  <c r="B51" i="3"/>
  <c r="B52" i="2"/>
  <c r="C27" i="2"/>
  <c r="C26" i="2"/>
  <c r="C25" i="2"/>
  <c r="C106" i="2"/>
  <c r="C115" i="2" s="1"/>
  <c r="C82" i="2"/>
  <c r="B59" i="2"/>
  <c r="B62" i="2" s="1"/>
  <c r="C106" i="1"/>
  <c r="C116" i="1" s="1"/>
  <c r="C82" i="1"/>
  <c r="C108" i="1" s="1"/>
  <c r="B59" i="1"/>
  <c r="B62" i="1" s="1"/>
  <c r="B51" i="1"/>
  <c r="B52" i="1" s="1"/>
  <c r="C68" i="3" l="1"/>
  <c r="C60" i="3"/>
  <c r="C47" i="3"/>
  <c r="C35" i="3"/>
  <c r="C67" i="3"/>
  <c r="C61" i="3"/>
  <c r="C41" i="3"/>
  <c r="C34" i="3"/>
  <c r="C72" i="3"/>
  <c r="C66" i="3"/>
  <c r="C55" i="3"/>
  <c r="C73" i="3"/>
  <c r="C39" i="3"/>
  <c r="C71" i="3"/>
  <c r="C56" i="3"/>
  <c r="C50" i="3"/>
  <c r="C38" i="3"/>
  <c r="C69" i="3"/>
  <c r="C48" i="3"/>
  <c r="C70" i="3"/>
  <c r="C57" i="3"/>
  <c r="C49" i="3"/>
  <c r="C37" i="3"/>
  <c r="C58" i="3"/>
  <c r="C36" i="3"/>
  <c r="F10" i="11"/>
  <c r="C40" i="3"/>
  <c r="C108" i="4"/>
  <c r="C108" i="3"/>
  <c r="C108" i="2"/>
  <c r="C85" i="3"/>
  <c r="C108" i="7"/>
  <c r="B52" i="3"/>
  <c r="C52" i="3" s="1"/>
  <c r="C51" i="3"/>
  <c r="B62" i="3"/>
  <c r="C59" i="3"/>
  <c r="B76" i="2"/>
  <c r="B78" i="2" s="1"/>
  <c r="B76" i="7"/>
  <c r="B78" i="7" s="1"/>
  <c r="B76" i="5"/>
  <c r="B78" i="5" s="1"/>
  <c r="C25" i="1"/>
  <c r="C27" i="1"/>
  <c r="C30" i="1" s="1"/>
  <c r="C72" i="1" s="1"/>
  <c r="B76" i="1"/>
  <c r="B78" i="1" s="1"/>
  <c r="C89" i="3"/>
  <c r="C93" i="3" s="1"/>
  <c r="C109" i="3" s="1"/>
  <c r="E34" i="12"/>
  <c r="D34" i="12"/>
  <c r="D39" i="12" s="1"/>
  <c r="D40" i="12" s="1"/>
  <c r="E49" i="13"/>
  <c r="D49" i="13"/>
  <c r="D54" i="13" s="1"/>
  <c r="D55" i="13" s="1"/>
  <c r="C30" i="2"/>
  <c r="C30" i="7"/>
  <c r="C34" i="7" s="1"/>
  <c r="C66" i="7"/>
  <c r="C30" i="5"/>
  <c r="C57" i="5" s="1"/>
  <c r="C25" i="4"/>
  <c r="C26" i="4"/>
  <c r="C27" i="4"/>
  <c r="B76" i="4"/>
  <c r="B78" i="4" s="1"/>
  <c r="C72" i="2"/>
  <c r="C49" i="2"/>
  <c r="C40" i="2"/>
  <c r="C34" i="2"/>
  <c r="C57" i="2"/>
  <c r="C37" i="2"/>
  <c r="C35" i="2"/>
  <c r="C70" i="2"/>
  <c r="C51" i="2"/>
  <c r="C38" i="2"/>
  <c r="C73" i="2"/>
  <c r="C60" i="2"/>
  <c r="C50" i="2"/>
  <c r="C41" i="2"/>
  <c r="C67" i="2"/>
  <c r="C55" i="2"/>
  <c r="C30" i="4" l="1"/>
  <c r="F13" i="11" s="1"/>
  <c r="C66" i="2"/>
  <c r="F11" i="11"/>
  <c r="C62" i="1"/>
  <c r="B76" i="3"/>
  <c r="B78" i="3" s="1"/>
  <c r="C72" i="7"/>
  <c r="F15" i="11"/>
  <c r="C49" i="5"/>
  <c r="C55" i="5"/>
  <c r="C52" i="5"/>
  <c r="C67" i="5"/>
  <c r="C50" i="5"/>
  <c r="C40" i="5"/>
  <c r="C36" i="5"/>
  <c r="C72" i="5"/>
  <c r="C70" i="5"/>
  <c r="C35" i="5"/>
  <c r="F14" i="11"/>
  <c r="C51" i="5"/>
  <c r="C56" i="5"/>
  <c r="C37" i="5"/>
  <c r="C60" i="5"/>
  <c r="C34" i="5"/>
  <c r="C68" i="5"/>
  <c r="C69" i="5"/>
  <c r="C39" i="5"/>
  <c r="C73" i="7"/>
  <c r="C70" i="7"/>
  <c r="C37" i="7"/>
  <c r="C39" i="7"/>
  <c r="C68" i="7"/>
  <c r="C60" i="7"/>
  <c r="C51" i="7"/>
  <c r="E54" i="13"/>
  <c r="E55" i="13" s="1"/>
  <c r="E39" i="12"/>
  <c r="E40" i="12" s="1"/>
  <c r="C39" i="2"/>
  <c r="C69" i="2"/>
  <c r="C52" i="2"/>
  <c r="C36" i="2"/>
  <c r="C61" i="2"/>
  <c r="C48" i="2"/>
  <c r="C47" i="2"/>
  <c r="C59" i="2"/>
  <c r="C68" i="2"/>
  <c r="C56" i="2"/>
  <c r="C71" i="2"/>
  <c r="C58" i="2"/>
  <c r="C70" i="1"/>
  <c r="C59" i="5"/>
  <c r="C58" i="5"/>
  <c r="C48" i="5"/>
  <c r="C71" i="5"/>
  <c r="C38" i="5"/>
  <c r="C66" i="5"/>
  <c r="C41" i="5"/>
  <c r="C73" i="5"/>
  <c r="C61" i="5"/>
  <c r="C47" i="5"/>
  <c r="C35" i="7"/>
  <c r="C48" i="7"/>
  <c r="C57" i="7"/>
  <c r="C40" i="7"/>
  <c r="C55" i="7"/>
  <c r="C50" i="7"/>
  <c r="C71" i="7"/>
  <c r="C61" i="7"/>
  <c r="C49" i="7"/>
  <c r="C67" i="7"/>
  <c r="C47" i="7"/>
  <c r="C41" i="7"/>
  <c r="C69" i="7"/>
  <c r="C52" i="7"/>
  <c r="C36" i="7"/>
  <c r="C58" i="7"/>
  <c r="C56" i="7"/>
  <c r="C38" i="7"/>
  <c r="C59" i="7"/>
  <c r="C73" i="1"/>
  <c r="C71" i="1"/>
  <c r="C50" i="1"/>
  <c r="C61" i="1"/>
  <c r="C59" i="1"/>
  <c r="C41" i="1"/>
  <c r="C48" i="1"/>
  <c r="C59" i="4"/>
  <c r="C48" i="4"/>
  <c r="C50" i="4"/>
  <c r="C47" i="4"/>
  <c r="C67" i="4"/>
  <c r="C49" i="4"/>
  <c r="C39" i="4"/>
  <c r="C36" i="4"/>
  <c r="C38" i="4"/>
  <c r="C40" i="4"/>
  <c r="C55" i="4"/>
  <c r="C69" i="4"/>
  <c r="C66" i="4"/>
  <c r="C73" i="4"/>
  <c r="C61" i="4"/>
  <c r="C58" i="4"/>
  <c r="C34" i="4"/>
  <c r="C68" i="4"/>
  <c r="C41" i="4"/>
  <c r="C71" i="4"/>
  <c r="C72" i="4"/>
  <c r="C35" i="4"/>
  <c r="C60" i="4"/>
  <c r="C70" i="4"/>
  <c r="C57" i="4"/>
  <c r="C56" i="4"/>
  <c r="C37" i="4"/>
  <c r="C51" i="4"/>
  <c r="C52" i="4"/>
  <c r="C69" i="1"/>
  <c r="C38" i="1"/>
  <c r="C56" i="1"/>
  <c r="C35" i="1"/>
  <c r="C34" i="1"/>
  <c r="C47" i="1"/>
  <c r="C60" i="1"/>
  <c r="C36" i="1"/>
  <c r="C40" i="1"/>
  <c r="C55" i="1"/>
  <c r="C68" i="1"/>
  <c r="C37" i="1"/>
  <c r="C49" i="1"/>
  <c r="C51" i="1"/>
  <c r="C67" i="1"/>
  <c r="C58" i="1"/>
  <c r="C39" i="1"/>
  <c r="C57" i="1"/>
  <c r="C52" i="1"/>
  <c r="C66" i="1"/>
  <c r="C42" i="4" l="1"/>
  <c r="C42" i="2"/>
  <c r="C76" i="2" s="1"/>
  <c r="C42" i="7"/>
  <c r="C62" i="2"/>
  <c r="C42" i="5"/>
  <c r="C62" i="3"/>
  <c r="C42" i="3"/>
  <c r="C62" i="5"/>
  <c r="E59" i="13"/>
  <c r="E44" i="12"/>
  <c r="E45" i="12"/>
  <c r="C62" i="7"/>
  <c r="C42" i="1"/>
  <c r="C62" i="4"/>
  <c r="C78" i="2" l="1"/>
  <c r="C93" i="1"/>
  <c r="C109" i="1" s="1"/>
  <c r="C111" i="1"/>
  <c r="E60" i="13"/>
  <c r="C111" i="5" s="1"/>
  <c r="C76" i="3"/>
  <c r="C78" i="3"/>
  <c r="C78" i="5"/>
  <c r="C102" i="5" s="1"/>
  <c r="C78" i="7"/>
  <c r="C96" i="7" s="1"/>
  <c r="C78" i="4"/>
  <c r="C102" i="4" s="1"/>
  <c r="C76" i="5"/>
  <c r="C76" i="7"/>
  <c r="C93" i="5"/>
  <c r="C109" i="5" s="1"/>
  <c r="C76" i="4"/>
  <c r="C76" i="1"/>
  <c r="C78" i="1"/>
  <c r="C103" i="2"/>
  <c r="C96" i="2"/>
  <c r="C107" i="2"/>
  <c r="C102" i="2"/>
  <c r="C101" i="2"/>
  <c r="C97" i="2"/>
  <c r="C104" i="2" l="1"/>
  <c r="C111" i="2" s="1"/>
  <c r="C97" i="3"/>
  <c r="C103" i="3"/>
  <c r="C101" i="3"/>
  <c r="C102" i="3"/>
  <c r="C98" i="2"/>
  <c r="C110" i="2" s="1"/>
  <c r="C107" i="3"/>
  <c r="C96" i="3"/>
  <c r="C101" i="5"/>
  <c r="C97" i="5"/>
  <c r="C103" i="5"/>
  <c r="C96" i="5"/>
  <c r="C107" i="5"/>
  <c r="C102" i="7"/>
  <c r="C107" i="7"/>
  <c r="C101" i="7"/>
  <c r="C103" i="7"/>
  <c r="C97" i="7"/>
  <c r="C107" i="4"/>
  <c r="C103" i="4"/>
  <c r="C101" i="4"/>
  <c r="C107" i="1"/>
  <c r="C102" i="1"/>
  <c r="C103" i="1"/>
  <c r="C104" i="7" l="1"/>
  <c r="C111" i="7" s="1"/>
  <c r="C104" i="5"/>
  <c r="C112" i="5" s="1"/>
  <c r="C98" i="5"/>
  <c r="C110" i="5" s="1"/>
  <c r="C98" i="7"/>
  <c r="C110" i="7" s="1"/>
  <c r="C113" i="2"/>
  <c r="H11" i="11" s="1"/>
  <c r="I11" i="11" s="1"/>
  <c r="C98" i="3"/>
  <c r="C110" i="3" s="1"/>
  <c r="C104" i="4"/>
  <c r="C111" i="4" s="1"/>
  <c r="C113" i="7" l="1"/>
  <c r="H15" i="11" s="1"/>
  <c r="I15" i="11" s="1"/>
  <c r="C116" i="2"/>
  <c r="C114" i="5"/>
  <c r="G14" i="11" s="1"/>
  <c r="G11" i="11"/>
  <c r="C96" i="1"/>
  <c r="B96" i="4"/>
  <c r="C116" i="7" l="1"/>
  <c r="G15" i="11"/>
  <c r="H14" i="11"/>
  <c r="I14" i="11" s="1"/>
  <c r="C117" i="5"/>
  <c r="C96" i="4"/>
  <c r="C97" i="1"/>
  <c r="B97" i="4"/>
  <c r="B98" i="4" s="1"/>
  <c r="C98" i="1" l="1"/>
  <c r="C110" i="1" s="1"/>
  <c r="C97" i="4"/>
  <c r="C98" i="4" s="1"/>
  <c r="C110" i="4" l="1"/>
  <c r="C113" i="4" s="1"/>
  <c r="C116" i="4" s="1"/>
  <c r="B104" i="1"/>
  <c r="C101" i="1"/>
  <c r="H13" i="11" l="1"/>
  <c r="I13" i="11" s="1"/>
  <c r="G13" i="11"/>
  <c r="C104" i="1"/>
  <c r="C112" i="1" s="1"/>
  <c r="C114" i="1" s="1"/>
  <c r="C117" i="1" l="1"/>
  <c r="G12" i="11"/>
  <c r="H12" i="11"/>
  <c r="I12" i="11" s="1"/>
  <c r="C104" i="3"/>
  <c r="C111" i="3" s="1"/>
  <c r="C113" i="3" s="1"/>
  <c r="H10" i="11" l="1"/>
  <c r="C116" i="3"/>
  <c r="G10" i="11"/>
  <c r="H16" i="11" l="1"/>
  <c r="I10" i="11"/>
  <c r="I16" i="11" s="1"/>
</calcChain>
</file>

<file path=xl/comments1.xml><?xml version="1.0" encoding="utf-8"?>
<comments xmlns="http://schemas.openxmlformats.org/spreadsheetml/2006/main">
  <authors>
    <author xml:space="preserve"> </author>
    <author>Engenharia2</author>
  </authors>
  <commentList>
    <comment ref="D20" authorId="0">
      <text>
        <r>
          <rPr>
            <b/>
            <sz val="12"/>
            <color indexed="8"/>
            <rFont val="Arial"/>
            <family val="2"/>
          </rPr>
          <t>DEVE SER PREENCHIDO APENAS ESSE CAMPO, CONFORME ÍNDICE COMPROVADO EM RELATÓRIO SEFIP PELA EMPRESA;</t>
        </r>
      </text>
    </comment>
    <comment ref="D24" authorId="0">
      <text>
        <r>
          <rPr>
            <b/>
            <sz val="12"/>
            <color indexed="8"/>
            <rFont val="Arial"/>
            <family val="2"/>
          </rPr>
          <t xml:space="preserve">DEVE SER PREENCHIDO APENAS ESSE CAMPO, CONFORME PREVISÕES DA EMPRESA
OBS: O PERCENTUAL MÍNIMO ESTABELECIDO É DE 3%
</t>
        </r>
      </text>
    </comment>
    <comment ref="D25" authorId="0">
      <text>
        <r>
          <rPr>
            <b/>
            <sz val="12"/>
            <color indexed="8"/>
            <rFont val="Arial"/>
            <family val="2"/>
          </rPr>
          <t>DEVE SER PREENCHIDO APENAS ESSE CAMPO, CONFORME PREVISÕES DA EMPRESA;</t>
        </r>
      </text>
    </comment>
    <comment ref="D26" authorId="0">
      <text>
        <r>
          <rPr>
            <b/>
            <sz val="12"/>
            <color indexed="8"/>
            <rFont val="Tahoma"/>
            <family val="2"/>
          </rPr>
          <t>PODERÁ SER EXIGIDO COMPROVAÇÃO COMPROBATÓRIA DOCUMENTAL PARA AVALIÇÃO DO PERCENTUAL UTILIZADO, QUANDO ABAIXO DO ÍNDICE DE: 6,15 %;</t>
        </r>
      </text>
    </comment>
    <comment ref="D29" authorId="1">
      <text>
        <r>
          <rPr>
            <b/>
            <sz val="12"/>
            <color indexed="81"/>
            <rFont val="Tahoma"/>
            <family val="2"/>
          </rPr>
          <t>ISS DE ACORDO COM A LEI MUNICIPAL Nº 1.508/1998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<sst xmlns="http://schemas.openxmlformats.org/spreadsheetml/2006/main" count="1044" uniqueCount="295">
  <si>
    <t>PLANILHA DE CUSTOS E FORMAÇÃO DE PREÇOS</t>
  </si>
  <si>
    <t>EMPRESA ENQUADRADA NO LUCRO:</t>
  </si>
  <si>
    <t xml:space="preserve"> PRESUMIDO</t>
  </si>
  <si>
    <t>I - INFORMAÇÕES DA PRESTAÇÃO E SERVIÇOS:</t>
  </si>
  <si>
    <t>NUMERO</t>
  </si>
  <si>
    <t xml:space="preserve"> POR EXTENSO</t>
  </si>
  <si>
    <t>A - Do Serviço:</t>
  </si>
  <si>
    <t>01 - JORNADA DIÁRIA</t>
  </si>
  <si>
    <t>02 - ESCALA DE SERVIÇO</t>
  </si>
  <si>
    <t>-</t>
  </si>
  <si>
    <t>SEG-SEX das 7h e 15 min às 11h e 15 min e das 13h e 15 min às 17h e 15 min</t>
  </si>
  <si>
    <t>03 - TOTAL DE HORAS MENSAIS</t>
  </si>
  <si>
    <t>04 - QUANTIDADE DE COLABORADORES NECESSÁRIOS</t>
  </si>
  <si>
    <t>CINCO</t>
  </si>
  <si>
    <t>05 - QUANTIDADE DE POSTOS LICITADOS</t>
  </si>
  <si>
    <t>B - Salário Normativo e Dados Complementares:</t>
  </si>
  <si>
    <t>01 - SALÁRIO NORMATIVO DA CATEGORIA CFE CCT 220H</t>
  </si>
  <si>
    <t>02 - CATEGORIA PROFISSIONAL/ FUNÇÃO</t>
  </si>
  <si>
    <t>Auxiliar de Limpeza 44h - 5143</t>
  </si>
  <si>
    <t>03 - SINDICATO PROFISSIONAL COMPETENTE</t>
  </si>
  <si>
    <t>SINDILIMP</t>
  </si>
  <si>
    <t>04 - DATA BASE DA CATEGORIA</t>
  </si>
  <si>
    <t>05 - N°. DISSIDIO DA CATEGORIA VIGENTE</t>
  </si>
  <si>
    <t>19964.100238/2022-98</t>
  </si>
  <si>
    <t>II - REMUNEAÇÃO E ENCARGOS:</t>
  </si>
  <si>
    <t>Vlr / % / Hs</t>
  </si>
  <si>
    <t>POR COLABORADOR</t>
  </si>
  <si>
    <t xml:space="preserve">A - REMUNERAÇÃO  </t>
  </si>
  <si>
    <t>01 - Salário Base cfe Categoria</t>
  </si>
  <si>
    <t>02 - Adicional Insalubridade</t>
  </si>
  <si>
    <t>03 - Adicional Periculosidade</t>
  </si>
  <si>
    <t>04 - Adicional Noturno / Hora reduzida (20%)</t>
  </si>
  <si>
    <t>05 - Adicional de Horas Extras (50%)</t>
  </si>
  <si>
    <t>06 - Adicional de Horas Extras (100%)</t>
  </si>
  <si>
    <t>07 - Repouso Intervalar Intrajornada (50%)</t>
  </si>
  <si>
    <t>08 - Reflexos DSR repouso Intrajornada</t>
  </si>
  <si>
    <t xml:space="preserve">TOTAL DA REMUNERAÇÃO (A) = </t>
  </si>
  <si>
    <t xml:space="preserve">B - ENCARGOS SOCIAIS BÁSICOS </t>
  </si>
  <si>
    <t xml:space="preserve"> *Incidentes sobre  Remuneração </t>
  </si>
  <si>
    <t>01 - PREVIDÊNCIA SOCIAL PATRONAL</t>
  </si>
  <si>
    <t>02 - SESC</t>
  </si>
  <si>
    <t>03 - SENAC</t>
  </si>
  <si>
    <t>04 - INCRA</t>
  </si>
  <si>
    <t>05 - SALÁRIO EDUCAÇÃO</t>
  </si>
  <si>
    <t>06 - FGTS</t>
  </si>
  <si>
    <t>07 - RAT Ajustado/FAP</t>
  </si>
  <si>
    <t>08 - SEBRAE</t>
  </si>
  <si>
    <t>VALOR DOS ENCARGOS SOCIAIS:</t>
  </si>
  <si>
    <t>C - DEMAIS ENCARGOS TRABALHISTAS</t>
  </si>
  <si>
    <t>Grupo "C.1" - 13º SALÁRIO, FÉRIAS E ADICIONAL DE FÉRIAS</t>
  </si>
  <si>
    <t>01 - 13º Salário</t>
  </si>
  <si>
    <t>02 - Férias (1/12)</t>
  </si>
  <si>
    <t>03 – Abono de férias/Terço constitucional (1/3)</t>
  </si>
  <si>
    <t xml:space="preserve">04 - SUBTOTAL MENSAL </t>
  </si>
  <si>
    <t>05 - ENCARGOS S/  13º SALÁRIO, FÉRIAS E ADICIONAL DE FÉRIAS</t>
  </si>
  <si>
    <t>06 - TOTAL GERAL DOS ENCARGOS S/  13º SALÁRIO, FÉRIAS E ADICIONAL DE FÉRIAS</t>
  </si>
  <si>
    <t>Grupo "C.2"- CUSTO PROVISÃO RESCISÃO</t>
  </si>
  <si>
    <t>01 - Aviso Previo Indenizado</t>
  </si>
  <si>
    <t>02 - FGTS sobre Aviso Prévio Indenizado</t>
  </si>
  <si>
    <t>03 - Multa do FGTS sobre Aviso Previo Indenizado</t>
  </si>
  <si>
    <t>04 - Aviso Prévio Indenizado</t>
  </si>
  <si>
    <t>05 - Encargos Sociais s/ Aviso Previo Indenizado</t>
  </si>
  <si>
    <t xml:space="preserve">06 - Multa do FGTS s/ Aviso Previo Indenizado </t>
  </si>
  <si>
    <t>07 - Multa do FGTS sobre Rescisão sem justa causa</t>
  </si>
  <si>
    <t>Grupo "C.3" - CUSTO DE REPOSIÇÃO PROFISSIONAL AUSENTE</t>
  </si>
  <si>
    <t>01 - Substituição por férias</t>
  </si>
  <si>
    <t>02 - Ausencia por Doença</t>
  </si>
  <si>
    <t>03 - Licença Paternidade</t>
  </si>
  <si>
    <t xml:space="preserve">04 - Faltas Legais </t>
  </si>
  <si>
    <t>05 - Ausencia por Acidente de trabalho</t>
  </si>
  <si>
    <t>06 - Afastamento Maternidade</t>
  </si>
  <si>
    <t>08 - Encargos Sociais sobre Custo Profissional Ausente</t>
  </si>
  <si>
    <t xml:space="preserve">TOTAL DO GRUPO C.3 = </t>
  </si>
  <si>
    <t>VALOR DOS DEMAIS ENCARGOS TRABALHISTAS: (B+C.1+C.2+C.3) =</t>
  </si>
  <si>
    <t>VALOR DA REMUNERAÇÃO MAIS ENCARGOS SOCIAIS E TRABALHISTAS</t>
  </si>
  <si>
    <t>III - GASTOS EXTRAS:</t>
  </si>
  <si>
    <t>01 - vale-transporte (30 vales /mês)</t>
  </si>
  <si>
    <t>02 - (-)Desconto Vale Transporte</t>
  </si>
  <si>
    <t>03 - auxílio alimentação (20 dias)</t>
  </si>
  <si>
    <t>04 - (-)Desconto auxílio Alimentação</t>
  </si>
  <si>
    <t>TOTAL DOS GASTOS EXTRAS</t>
  </si>
  <si>
    <t>IV - INSUMOS PREVISTOS EM CCT/DISSÍDIOS:</t>
  </si>
  <si>
    <t>02 - equipamentos de proteção individual (Média)</t>
  </si>
  <si>
    <t>03 - treinamento e/ou reciclagem de pessoal</t>
  </si>
  <si>
    <t>04 - seguro de vida em grupo</t>
  </si>
  <si>
    <r>
      <rPr>
        <sz val="10"/>
        <rFont val="Verdana"/>
        <family val="2"/>
      </rPr>
      <t xml:space="preserve">05 - Benefício Familiar - </t>
    </r>
    <r>
      <rPr>
        <b/>
        <sz val="10"/>
        <rFont val="Verdana"/>
        <family val="2"/>
      </rPr>
      <t>CCT Vigente</t>
    </r>
  </si>
  <si>
    <t>TOTAL DOS INSUMOS</t>
  </si>
  <si>
    <t>V - LUCROS E DESPESAS ADMINISTRATIVAS</t>
  </si>
  <si>
    <t>%</t>
  </si>
  <si>
    <t xml:space="preserve">01 - Taxa de Administração </t>
  </si>
  <si>
    <t xml:space="preserve">02 - Lucro Estimado </t>
  </si>
  <si>
    <t>VALOR DOS LUCROS E DESPESAS ADMINISTRATIVAS</t>
  </si>
  <si>
    <t>VI - IMPOSTOS E TAXAS</t>
  </si>
  <si>
    <t>01 - PIS</t>
  </si>
  <si>
    <t>02 - COFINS</t>
  </si>
  <si>
    <t>03 - ISS</t>
  </si>
  <si>
    <t>TOTAL DOS IMPOSTOS E TAXAS</t>
  </si>
  <si>
    <t>VII - QUADRO RESUMO COM O TOTAL DE GASTOS</t>
  </si>
  <si>
    <t>01 - REMUNERAÇÃO E ENCARGOS</t>
  </si>
  <si>
    <t>02 - GASTOS EXTRAS</t>
  </si>
  <si>
    <t>03 - INSUMOS</t>
  </si>
  <si>
    <t>04 - LUCROS E DESPESAS ADMINISTRATIVAS</t>
  </si>
  <si>
    <t>05 - IMPOSTOS E TAXAS</t>
  </si>
  <si>
    <t>VIII - PREÇO MENSAL DO CONTRATO</t>
  </si>
  <si>
    <t>IX - PREÇO ANUAL DO CONTRATO</t>
  </si>
  <si>
    <t>NÚMERO DE MESES</t>
  </si>
  <si>
    <t>Auxiliar de Manutenção Predial 44h - 5143</t>
  </si>
  <si>
    <t>SEG-SEX das 7h e 15 min às 13h e 15 min OU das 12h15min às 18h15min</t>
  </si>
  <si>
    <t>SEIS HORAS DIARIAS</t>
  </si>
  <si>
    <t>OITO HORAS DIÁRIAS</t>
  </si>
  <si>
    <t>Servente de Limpeza 44h - 5143</t>
  </si>
  <si>
    <t>Recepcionista/Telefonista 44h - 4221-05</t>
  </si>
  <si>
    <t>DUZENTAS HORAS</t>
  </si>
  <si>
    <t>RESUMO FINAL DA PLANILHA DE CUSTO POR ITEM DA PROPOSTA</t>
  </si>
  <si>
    <t>ITEM</t>
  </si>
  <si>
    <t>DESCRIÇÃO</t>
  </si>
  <si>
    <t>Nº DE HORAS</t>
  </si>
  <si>
    <t xml:space="preserve">QNT. FUNC </t>
  </si>
  <si>
    <t>VALOR POR JORNADA</t>
  </si>
  <si>
    <t>VALOR POR FUNCIONÁRIO</t>
  </si>
  <si>
    <t>TOTAL DO CUSTO DE FUNCIONÁRIOS</t>
  </si>
  <si>
    <t>I.B - ENCARGOS SÓCIAIS VARIÁVEIS</t>
  </si>
  <si>
    <t>RAT x FAP = RAT AJUSTADO</t>
  </si>
  <si>
    <t xml:space="preserve"> </t>
  </si>
  <si>
    <t>I.C - BDI (Custos Indiretos, Tributos e Lucros)</t>
  </si>
  <si>
    <t>DESCRIÇAO</t>
  </si>
  <si>
    <t>Despesas Administrativas/Operacionais</t>
  </si>
  <si>
    <t>Tributos (PIS + COFINS + ISS) ***</t>
  </si>
  <si>
    <t>3.1 - COFINS</t>
  </si>
  <si>
    <t>A) CUSTO DO EQUIPAMENTO</t>
  </si>
  <si>
    <t>Cotação de Preços</t>
  </si>
  <si>
    <t>Descrição</t>
  </si>
  <si>
    <t>Quantidade</t>
  </si>
  <si>
    <t>Cotação</t>
  </si>
  <si>
    <t>Vida Útil (meses)</t>
  </si>
  <si>
    <t>VANSO MATERIAIS DE CONSTRUÇÃO</t>
  </si>
  <si>
    <t>Parafusadeira/furadeira, 12V, 3/8'', com carregador</t>
  </si>
  <si>
    <t>Martelo unha</t>
  </si>
  <si>
    <t>Alicate universal, isolada</t>
  </si>
  <si>
    <t>Chave inglesa ajustável</t>
  </si>
  <si>
    <t>Lanterna 19 LEDs, potente, bivolt holofote, recarregável</t>
  </si>
  <si>
    <t>Jogo de chave de fenda e philips, 6 peças, isoladas</t>
  </si>
  <si>
    <t xml:space="preserve">Trena com fita de aço, com trava, 8 metros </t>
  </si>
  <si>
    <t xml:space="preserve">Alicate amperímetro com multímetro  </t>
  </si>
  <si>
    <t>Estilete retratil com trava automática, 18 mm</t>
  </si>
  <si>
    <t>Lápis carpinteiro/marceneiro/pedreiro</t>
  </si>
  <si>
    <t>Alicate de corte diagonal, 6''</t>
  </si>
  <si>
    <t xml:space="preserve">Jogo de chave Allen, 1,5 mm a 10 mm </t>
  </si>
  <si>
    <t>Nível de bolha de ar</t>
  </si>
  <si>
    <t>Custo Total de Equipamentos</t>
  </si>
  <si>
    <t>Qtde Anual</t>
  </si>
  <si>
    <t>Valor Anual</t>
  </si>
  <si>
    <t>Valor Mensal</t>
  </si>
  <si>
    <t>Custo Total</t>
  </si>
  <si>
    <t>Valor Total dos Custos Diretos</t>
  </si>
  <si>
    <t>VALOR DO EQUIPAMENTO:</t>
  </si>
  <si>
    <t>Unidade</t>
  </si>
  <si>
    <t>Município de Aratiba</t>
  </si>
  <si>
    <t xml:space="preserve"> Total</t>
  </si>
  <si>
    <t>VALOR TOTAL DOS CUSTOS DIRETOS (MATERIAL E EQUIPAMENTO)</t>
  </si>
  <si>
    <t>Total</t>
  </si>
  <si>
    <t>Valor Total</t>
  </si>
  <si>
    <t xml:space="preserve"> PLANILHA DE CUSTOS E FORMAÇÃO DE PREÇOS - AUXILIAR DE MANUTENÇÃO PREDIAL</t>
  </si>
  <si>
    <t>Qtde</t>
  </si>
  <si>
    <t>Fornecedor 1 - Coperdia</t>
  </si>
  <si>
    <t>Fornecedor 2 - Eletrica Grando</t>
  </si>
  <si>
    <t>Roçadeira fio nylon</t>
  </si>
  <si>
    <t>Roçadeira lâmina</t>
  </si>
  <si>
    <t>Máquina cortar grama</t>
  </si>
  <si>
    <t>Tela de proteção 1,50x2,00m</t>
  </si>
  <si>
    <t>Cone de sinalização 50cm</t>
  </si>
  <si>
    <t>Enxada</t>
  </si>
  <si>
    <t>Pá</t>
  </si>
  <si>
    <t>Garfo (forcado)</t>
  </si>
  <si>
    <t>Vassoura metálica</t>
  </si>
  <si>
    <t>Foice</t>
  </si>
  <si>
    <t>Facão</t>
  </si>
  <si>
    <t>Vassourão</t>
  </si>
  <si>
    <t>Carrinho de mão</t>
  </si>
  <si>
    <t>Carrinho 100L gari</t>
  </si>
  <si>
    <t>Pá de lixo varrição rua</t>
  </si>
  <si>
    <t>Vassoura piasava varrição rua</t>
  </si>
  <si>
    <t>Tesoura de poda</t>
  </si>
  <si>
    <t>Rastel (ancinho)</t>
  </si>
  <si>
    <t>Fio de nylon (rolo 300m)</t>
  </si>
  <si>
    <t>Lâmina</t>
  </si>
  <si>
    <t xml:space="preserve"> PLANILHA DE CUSTOS MATERIAL - SERVENTE DE LIMPEZA</t>
  </si>
  <si>
    <t xml:space="preserve">Fornecedor 1- COPERDIA </t>
  </si>
  <si>
    <t>Fornecedor 2- GRANDO</t>
  </si>
  <si>
    <t>Item</t>
  </si>
  <si>
    <t>Soma Mensal por Posto</t>
  </si>
  <si>
    <t>Sind das empresas de asseio e conservação do Estado do R G S</t>
  </si>
  <si>
    <t>03 - auxílio alimentação/auxilio lanche (20 dias)</t>
  </si>
  <si>
    <t xml:space="preserve">VI - IMPOSTOS E TAXAS - Tributos </t>
  </si>
  <si>
    <t>V - CUSTOS INDIRETOS E LUCRO</t>
  </si>
  <si>
    <t>01 - Taxa de Administração  (Custo Indireto)</t>
  </si>
  <si>
    <t xml:space="preserve"> PERCENTUAL MAXIMO de CUSTOS INDIRETOS – Fonte Acórdão TCU 1.753/2008 – PERCENTUAL MÁXIMO 10%</t>
  </si>
  <si>
    <t>REFERENCIA: Manual de Panilhas STJ - 2020 - pg 83/84</t>
  </si>
  <si>
    <t>Lucro Estimado</t>
  </si>
  <si>
    <t>DOZE</t>
  </si>
  <si>
    <t>QUATRO</t>
  </si>
  <si>
    <t>SEIS</t>
  </si>
  <si>
    <t>Quantidade por Posto</t>
  </si>
  <si>
    <t>Periodicidade de entregas
(Meses)</t>
  </si>
  <si>
    <t>Valor Unitário</t>
  </si>
  <si>
    <t>EPI (Equipamento de Proteção Individual) - Auxiliar de Manutenção Predial 40h</t>
  </si>
  <si>
    <t>EPI (Equipamento de Proteção Individual) - Auxiliar de Limpeza 40h</t>
  </si>
  <si>
    <t>EPI (Equipamento de Proteção Individual) - Auxiliar de Limpeza 30h</t>
  </si>
  <si>
    <t>EPI (Equipamento de Proteção Individual) - Servente de Limpeza 40h</t>
  </si>
  <si>
    <t>Placas de Sinalização</t>
  </si>
  <si>
    <t>Protetor Auricular (par)</t>
  </si>
  <si>
    <t>Camisa de segurança, confeccionada em uma camada de tecido, composto por 100% de algodão, ATPV 11 Cal/cm², com gramatura nominal de 8,0 oz/yd² (271 g/m²). Refletivos: braços e na altura do abdômen. Bolso: 01 bolso frontal.</t>
  </si>
  <si>
    <t>Calça de segurança, confeccionada em uma camada de tecido, composto por 100% de algodão, ATPV 11 Cal/cm², com gramatura nominal de 8,0 oz/yd² (271 g/m²). Refletivos: abaixo do joelho. Bolsos: 02 bolsos frontais e 02 laterais.</t>
  </si>
  <si>
    <t>Camiseta Confeccionada em 100% algodão, algodão fio 30.1. Modelo gola em V, manga curta, cor cinza gelo claro.</t>
  </si>
  <si>
    <t>Crachá de plástico resistente, com foto, nome e identificação da empresa.</t>
  </si>
  <si>
    <t>EPI (Equipamento de Proteção Individual) - Merendeiro 40h</t>
  </si>
  <si>
    <t>Toucas Higiênicas</t>
  </si>
  <si>
    <t>Luva de Malha de Aço (par)</t>
  </si>
  <si>
    <t>Luvas Térmicas (par)</t>
  </si>
  <si>
    <t>Luva de Latex (par)</t>
  </si>
  <si>
    <t>Luva deVinil (par)</t>
  </si>
  <si>
    <t>Calçados de Segurança</t>
  </si>
  <si>
    <t xml:space="preserve">Mangotes (par) </t>
  </si>
  <si>
    <t>Avental Profissional Térmico</t>
  </si>
  <si>
    <t>1 un</t>
  </si>
  <si>
    <t>1 cx c/ 100</t>
  </si>
  <si>
    <t>2 cx c/ 100</t>
  </si>
  <si>
    <t xml:space="preserve">Mascara Protetora Facial com viseira incolor </t>
  </si>
  <si>
    <t xml:space="preserve">Jaleco Brim Manga Curta com 3 Bolsos - Uiniforme Profissional </t>
  </si>
  <si>
    <t>Calçado Antiderrapante Auxiliar de Limpeza</t>
  </si>
  <si>
    <t>4 unidades</t>
  </si>
  <si>
    <t>2 un</t>
  </si>
  <si>
    <t>Soma Anual por Posto</t>
  </si>
  <si>
    <t>03 - INSUMOS/EQUIPAMENTOS/EPIS</t>
  </si>
  <si>
    <t>03 - auxílio alimentação (20 dias) - LANCHE</t>
  </si>
  <si>
    <t>Luva de Malha com borracha Nitrilica (par)</t>
  </si>
  <si>
    <t>Protetor Solar Profissional FPS 60 1/3 UVA 1 litro</t>
  </si>
  <si>
    <t>3 un</t>
  </si>
  <si>
    <t>Capacete com carneira e jugular com suspensão ajuste fácil</t>
  </si>
  <si>
    <t>òculos Incolor Antirrisco</t>
  </si>
  <si>
    <t>Bota/Botina de Segurança com Elástico e Bico/Biqueira de Composite</t>
  </si>
  <si>
    <t xml:space="preserve">Protetor Facial com viseira incolor </t>
  </si>
  <si>
    <t>vide planilha</t>
  </si>
  <si>
    <t>Uniformes - Auxiliar de Manutenção Predial 40h</t>
  </si>
  <si>
    <t>Uniformes - Merendeiro 40h</t>
  </si>
  <si>
    <t>Uniformes - Auxiliar de Limpeza 40h</t>
  </si>
  <si>
    <t>Calça , confeccionada em uma camada de tecido, composto por 100% de algodão, ATPV 11 Cal/cm², com gramatura nominal de 8,0 oz/yd² (271 g/m²). Refletivos: abaixo do joelho. Bolsos: 02 bolsos frontais e 02 laterais.</t>
  </si>
  <si>
    <t>SEIS HORAS DIÁRIAS</t>
  </si>
  <si>
    <t xml:space="preserve">Calça de segurança, confeccionada em uma camada de tecido, composto por 100% de algodão, ATPV 11 Cal/cm², com gramatura nominal de 8,0 oz/yd² (271 g/m²). </t>
  </si>
  <si>
    <t>Uniformes - Auxiliar de Limpeza 30h</t>
  </si>
  <si>
    <t>Uniformes - Servente de Limpeza 40h</t>
  </si>
  <si>
    <t>Uniformes - Recepcionista/Teelfonista 30h</t>
  </si>
  <si>
    <t>IV - INSUMOS E EQUIPAMENTOS PREVISTOS EM CCT/DISSÍDIOS:</t>
  </si>
  <si>
    <t xml:space="preserve">05 - EQUIPAMENTOS </t>
  </si>
  <si>
    <t>06 - IMPOSTOS E TAXAS</t>
  </si>
  <si>
    <t>3.3 - ISS</t>
  </si>
  <si>
    <t>3,2 - PIS</t>
  </si>
  <si>
    <t xml:space="preserve">01 - uniformes </t>
  </si>
  <si>
    <t>V.01:  PERCENTUAL MAXIMO de CUSTOS INDIRETOS – Fonte Acórdão TCU 1.753/2008 – PERCENTUAL MÁXIMO 10%</t>
  </si>
  <si>
    <t>V.02: REFERENCIA: Manual de Panilhas STJ - 2020 - pg 83/84</t>
  </si>
  <si>
    <t>SEG-SEX das 7h e 15 min às 13h e 15 min OU das 13h e 15 min às 19h e 15 min</t>
  </si>
  <si>
    <t>05 - ENCARGOS S/ 13º SALÁRIO, FÉRIAS E ADICIONAL DE FÉRIAS</t>
  </si>
  <si>
    <t>VALOR MENSAL TOTAL</t>
  </si>
  <si>
    <t>VALOR ANUAL (12 MESES)</t>
  </si>
  <si>
    <t>Proponente/Tomador:</t>
  </si>
  <si>
    <t>Empresa:</t>
  </si>
  <si>
    <t>CNPJ:</t>
  </si>
  <si>
    <t>Objeto:</t>
  </si>
  <si>
    <t>Contratação de empresa especializada para prestação de serviços continuados de mão-de-obra</t>
  </si>
  <si>
    <t>Endereço:</t>
  </si>
  <si>
    <t>87.613.469/0001-84</t>
  </si>
  <si>
    <t>Rua Luiz Loeser, nº 287, Centro, Aratiba, RS.</t>
  </si>
  <si>
    <t>CENTO E CINQUENTA HORAS</t>
  </si>
  <si>
    <t xml:space="preserve">CENTO E CINQUENTA HORAS </t>
  </si>
  <si>
    <t xml:space="preserve">Somete as células na cor amarela são editáveis </t>
  </si>
  <si>
    <t>1)</t>
  </si>
  <si>
    <t>2)</t>
  </si>
  <si>
    <t>3)</t>
  </si>
  <si>
    <t>ORIENTAÇÕES PARA PREENCHIMENTO</t>
  </si>
  <si>
    <t>Para impressão das planilhas, deve-se clicar em CTRL + P ou menu 'arquivo', opção 'imprimir';</t>
  </si>
  <si>
    <t>PIS</t>
  </si>
  <si>
    <t>COFINS</t>
  </si>
  <si>
    <t>I.D - REGIME DE INCIDÊNCIA (CUMULATIVA OU NÃO CUMULATIVA)</t>
  </si>
  <si>
    <t>CUMULATIVA (LUCRO PRESUMIDO)</t>
  </si>
  <si>
    <t>NÃO CUMULATIVA (LUCRO REAL)</t>
  </si>
  <si>
    <t>Digitar nome da Empresa</t>
  </si>
  <si>
    <t>Digitar CNPJ</t>
  </si>
  <si>
    <t>Digitar Endereço</t>
  </si>
  <si>
    <t xml:space="preserve">Documentos para impressão conforme edital no item "9.2":                                                                                       a) Resumo Final da Planilha de Custo por Item da Proposta (Aba RESUMO FINAL)
b) Planilha de Custos e Formação de Preços para o cargo de Auxiliar de Manutenção Predial 40 horas (Aba AUX. MANUT.PREDIAL 40H)
c) Planilha de Custos e Formação de Preços para o cargo de Merendeiro 40 horas (Aba MERENDEIRO 40H)
d) Planilha de Custos e Formação de Preços para o cargo de Auxiliar de Limpeza 40 horas (Aba AUX.LIMPEZA 40H)
e) Planilha de Custos e Formação de Preços para o cargo de Auxiliar de Limpeza 30 horas (Aba AUX.LIMPEZA 30H)
f) Planilha de Custos e Formação de Preços para o cargo de Servente de Limpeza 40 horas (Aba SERVENTE DE LIMPEZA 40H)
g) Planilha de Custos e Formação de Preços para o cargo de Auxiliar de Manutenção Predial 40 horas (Aba RECEPCIONISTA-TELEFONISTA 30H)
</t>
  </si>
  <si>
    <t xml:space="preserve">4) </t>
  </si>
  <si>
    <t>Demais orientações para preenchimento e impressão consultar o edital do processo licitatório.</t>
  </si>
  <si>
    <t>Merendeiro 44h - 5132</t>
  </si>
  <si>
    <r>
      <rPr>
        <b/>
        <sz val="18"/>
        <color theme="1"/>
        <rFont val="Arial"/>
        <family val="2"/>
      </rPr>
      <t>PREFEITURA MUNICIPAL DE ARATIBA
Pregão Presencial nº 017/2022</t>
    </r>
    <r>
      <rPr>
        <sz val="11"/>
        <color theme="1"/>
        <rFont val="Calibri"/>
        <family val="2"/>
        <scheme val="minor"/>
      </rPr>
      <t xml:space="preserve">
</t>
    </r>
  </si>
  <si>
    <t>PREFEITURA MUNICIPAL DE ARATIBA
Pregão Presencial nº 017/2022</t>
  </si>
  <si>
    <r>
      <t xml:space="preserve">Regime de Incidência (Cumulativa ou não-cumulativa) I.D1 do Resumo Final da Planilha de Custo por Item da Proposta, sendo:
- Regime de Incidência </t>
    </r>
    <r>
      <rPr>
        <b/>
        <sz val="10"/>
        <color theme="1"/>
        <rFont val="Verdana"/>
        <family val="2"/>
      </rPr>
      <t>CUMULATIVO</t>
    </r>
    <r>
      <rPr>
        <sz val="10"/>
        <color theme="1"/>
        <rFont val="Verdana"/>
        <family val="2"/>
      </rPr>
      <t xml:space="preserve"> para as empresas que apurem o IRPJ com base no LUCRO PRESUMIDO, que atribui alíquotas de </t>
    </r>
    <r>
      <rPr>
        <b/>
        <sz val="10"/>
        <color theme="1"/>
        <rFont val="Verdana"/>
        <family val="2"/>
      </rPr>
      <t>0,65%</t>
    </r>
    <r>
      <rPr>
        <sz val="10"/>
        <color theme="1"/>
        <rFont val="Verdana"/>
        <family val="2"/>
      </rPr>
      <t xml:space="preserve"> e </t>
    </r>
    <r>
      <rPr>
        <b/>
        <sz val="10"/>
        <color theme="1"/>
        <rFont val="Verdana"/>
        <family val="2"/>
      </rPr>
      <t>3%</t>
    </r>
    <r>
      <rPr>
        <sz val="10"/>
        <color theme="1"/>
        <rFont val="Verdana"/>
        <family val="2"/>
      </rPr>
      <t xml:space="preserve"> para </t>
    </r>
    <r>
      <rPr>
        <b/>
        <sz val="10"/>
        <color theme="1"/>
        <rFont val="Verdana"/>
        <family val="2"/>
      </rPr>
      <t>PIS</t>
    </r>
    <r>
      <rPr>
        <sz val="10"/>
        <color theme="1"/>
        <rFont val="Verdana"/>
        <family val="2"/>
      </rPr>
      <t xml:space="preserve"> e </t>
    </r>
    <r>
      <rPr>
        <b/>
        <sz val="10"/>
        <color theme="1"/>
        <rFont val="Verdana"/>
        <family val="2"/>
      </rPr>
      <t>COFINS</t>
    </r>
    <r>
      <rPr>
        <sz val="10"/>
        <color theme="1"/>
        <rFont val="Verdana"/>
        <family val="2"/>
      </rPr>
      <t xml:space="preserve">, respectivamente;
- Regime de Incidência </t>
    </r>
    <r>
      <rPr>
        <b/>
        <sz val="10"/>
        <color theme="1"/>
        <rFont val="Verdana"/>
        <family val="2"/>
      </rPr>
      <t>NÃO-CUMULATIVO</t>
    </r>
    <r>
      <rPr>
        <sz val="10"/>
        <color theme="1"/>
        <rFont val="Verdana"/>
        <family val="2"/>
      </rPr>
      <t xml:space="preserve"> para as empresas que apurem o IRPJ com base no LUCRO REAL, que atribui alíquotas máximas Regime de</t>
    </r>
    <r>
      <rPr>
        <b/>
        <sz val="10"/>
        <color theme="1"/>
        <rFont val="Verdana"/>
        <family val="2"/>
      </rPr>
      <t xml:space="preserve"> 1,65%</t>
    </r>
    <r>
      <rPr>
        <sz val="10"/>
        <color theme="1"/>
        <rFont val="Verdana"/>
        <family val="2"/>
      </rPr>
      <t xml:space="preserve"> e </t>
    </r>
    <r>
      <rPr>
        <b/>
        <sz val="10"/>
        <color theme="1"/>
        <rFont val="Verdana"/>
        <family val="2"/>
      </rPr>
      <t>7,6%</t>
    </r>
    <r>
      <rPr>
        <sz val="10"/>
        <color theme="1"/>
        <rFont val="Verdana"/>
        <family val="2"/>
      </rPr>
      <t xml:space="preserve"> para</t>
    </r>
    <r>
      <rPr>
        <b/>
        <sz val="10"/>
        <color theme="1"/>
        <rFont val="Verdana"/>
        <family val="2"/>
      </rPr>
      <t xml:space="preserve"> PIS</t>
    </r>
    <r>
      <rPr>
        <sz val="10"/>
        <color theme="1"/>
        <rFont val="Verdana"/>
        <family val="2"/>
      </rPr>
      <t xml:space="preserve"> e </t>
    </r>
    <r>
      <rPr>
        <b/>
        <sz val="10"/>
        <color theme="1"/>
        <rFont val="Verdana"/>
        <family val="2"/>
      </rPr>
      <t>COFINS</t>
    </r>
    <r>
      <rPr>
        <sz val="10"/>
        <color theme="1"/>
        <rFont val="Verdana"/>
        <family val="2"/>
      </rPr>
      <t xml:space="preserve">, respectivamente.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</si>
</sst>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"/>
    <numFmt numFmtId="165" formatCode="_(&quot;R$ &quot;* #,##0.00_);_(&quot;R$ &quot;* \(#,##0.00\);_(&quot;R$ &quot;* \-??_);_(@_)"/>
    <numFmt numFmtId="166" formatCode="&quot;R$ &quot;#,##0.00"/>
    <numFmt numFmtId="167" formatCode="mm/dd/yy"/>
    <numFmt numFmtId="168" formatCode="_(* #,##0.00_);_(* \(#,##0.00\);_(* \-??_);_(@_)"/>
    <numFmt numFmtId="169" formatCode="[$R$-416]\ #,##0.00;[Red]\-[$R$-416]\ #,##0.00"/>
    <numFmt numFmtId="170" formatCode="_-* #,##0.00_-;\-* #,##0.00_-;_-* \-??_-;_-@_-"/>
    <numFmt numFmtId="171" formatCode="#,##0.0"/>
    <numFmt numFmtId="172" formatCode="_-&quot;R$&quot;\ * #,##0.0000_-;\-&quot;R$&quot;\ * #,##0.0000_-;_-&quot;R$&quot;\ * &quot;-&quot;??_-;_-@_-"/>
    <numFmt numFmtId="173" formatCode="0.0000%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name val="Verdana"/>
      <family val="2"/>
    </font>
    <font>
      <sz val="12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10"/>
      <name val="Arial"/>
      <family val="2"/>
    </font>
    <font>
      <b/>
      <u/>
      <sz val="10"/>
      <name val="Verdana"/>
      <family val="2"/>
    </font>
    <font>
      <sz val="10"/>
      <name val="Courier New"/>
      <family val="3"/>
    </font>
    <font>
      <b/>
      <sz val="16"/>
      <name val="Arial"/>
      <family val="2"/>
    </font>
    <font>
      <b/>
      <sz val="12"/>
      <color indexed="8"/>
      <name val="Arial"/>
      <family val="2"/>
    </font>
    <font>
      <b/>
      <sz val="12"/>
      <color indexed="8"/>
      <name val="Tahoma"/>
      <family val="2"/>
    </font>
    <font>
      <b/>
      <sz val="12"/>
      <color indexed="81"/>
      <name val="Tahoma"/>
      <family val="2"/>
    </font>
    <font>
      <sz val="9"/>
      <color indexed="81"/>
      <name val="Tahoma"/>
      <family val="2"/>
    </font>
    <font>
      <i/>
      <sz val="11"/>
      <color indexed="23"/>
      <name val="Calibri"/>
      <family val="2"/>
    </font>
    <font>
      <sz val="10"/>
      <color theme="1"/>
      <name val="Verdana"/>
      <family val="2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b/>
      <sz val="10"/>
      <name val="Vedana"/>
    </font>
    <font>
      <b/>
      <sz val="11"/>
      <color rgb="FF3F3F3F"/>
      <name val="Calibri"/>
      <family val="2"/>
      <scheme val="minor"/>
    </font>
    <font>
      <b/>
      <sz val="14"/>
      <color indexed="8"/>
      <name val="Verdana"/>
      <family val="2"/>
    </font>
    <font>
      <sz val="11"/>
      <color theme="1"/>
      <name val="Verdana"/>
      <family val="2"/>
    </font>
    <font>
      <b/>
      <sz val="10"/>
      <color indexed="8"/>
      <name val="Verdana"/>
      <family val="2"/>
    </font>
    <font>
      <b/>
      <sz val="11"/>
      <color rgb="FF3F3F3F"/>
      <name val="Verdana"/>
      <family val="2"/>
    </font>
    <font>
      <sz val="10"/>
      <color indexed="8"/>
      <name val="Verdana"/>
      <family val="2"/>
    </font>
    <font>
      <b/>
      <sz val="12"/>
      <color indexed="8"/>
      <name val="Verdana"/>
      <family val="2"/>
    </font>
    <font>
      <b/>
      <sz val="11"/>
      <color indexed="8"/>
      <name val="Verdana"/>
      <family val="2"/>
    </font>
    <font>
      <i/>
      <sz val="10"/>
      <color indexed="8"/>
      <name val="Verdana"/>
      <family val="2"/>
    </font>
    <font>
      <b/>
      <i/>
      <sz val="10"/>
      <color indexed="8"/>
      <name val="Verdana"/>
      <family val="2"/>
    </font>
    <font>
      <b/>
      <sz val="10"/>
      <color rgb="FF3F3F3F"/>
      <name val="Verdana"/>
      <family val="2"/>
    </font>
    <font>
      <b/>
      <sz val="10"/>
      <color theme="1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0"/>
      <color theme="0"/>
      <name val="Verdana"/>
      <family val="2"/>
    </font>
    <font>
      <b/>
      <sz val="10"/>
      <color rgb="FFFF0000"/>
      <name val="Verdana"/>
      <family val="2"/>
    </font>
    <font>
      <sz val="1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color theme="0"/>
      <name val="Verdana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Courier New"/>
      <family val="3"/>
    </font>
    <font>
      <b/>
      <sz val="1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3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</patternFill>
    </fill>
    <fill>
      <patternFill patternType="solid">
        <fgColor rgb="FFF2F2F2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34"/>
      </patternFill>
    </fill>
  </fills>
  <borders count="8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3F3F3F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6" fillId="0" borderId="0"/>
    <xf numFmtId="0" fontId="1" fillId="0" borderId="0"/>
    <xf numFmtId="44" fontId="1" fillId="0" borderId="0" applyFont="0" applyFill="0" applyBorder="0" applyAlignment="0" applyProtection="0"/>
    <xf numFmtId="0" fontId="16" fillId="15" borderId="0" applyNumberFormat="0" applyBorder="0" applyAlignment="0" applyProtection="0"/>
    <xf numFmtId="0" fontId="20" fillId="16" borderId="74" applyNumberFormat="0" applyAlignment="0" applyProtection="0"/>
  </cellStyleXfs>
  <cellXfs count="413">
    <xf numFmtId="0" fontId="0" fillId="0" borderId="0" xfId="0"/>
    <xf numFmtId="0" fontId="3" fillId="0" borderId="0" xfId="0" applyFont="1" applyAlignment="1">
      <alignment horizontal="center" vertical="top" wrapText="1"/>
    </xf>
    <xf numFmtId="0" fontId="4" fillId="2" borderId="3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center"/>
    </xf>
    <xf numFmtId="44" fontId="5" fillId="3" borderId="3" xfId="2" applyFont="1" applyFill="1" applyBorder="1" applyAlignment="1" applyProtection="1">
      <alignment horizontal="center"/>
    </xf>
    <xf numFmtId="0" fontId="5" fillId="0" borderId="4" xfId="0" applyFont="1" applyBorder="1" applyAlignment="1">
      <alignment horizontal="left"/>
    </xf>
    <xf numFmtId="44" fontId="4" fillId="3" borderId="3" xfId="2" applyFont="1" applyFill="1" applyBorder="1" applyAlignment="1" applyProtection="1">
      <alignment horizontal="center"/>
    </xf>
    <xf numFmtId="0" fontId="5" fillId="0" borderId="4" xfId="0" applyFont="1" applyBorder="1" applyAlignment="1">
      <alignment horizontal="left" vertical="center"/>
    </xf>
    <xf numFmtId="44" fontId="4" fillId="3" borderId="3" xfId="2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center"/>
    </xf>
    <xf numFmtId="44" fontId="5" fillId="3" borderId="3" xfId="2" applyFont="1" applyFill="1" applyBorder="1" applyAlignment="1" applyProtection="1"/>
    <xf numFmtId="0" fontId="5" fillId="0" borderId="3" xfId="0" applyFont="1" applyBorder="1"/>
    <xf numFmtId="9" fontId="4" fillId="0" borderId="8" xfId="3" applyFont="1" applyFill="1" applyBorder="1" applyAlignment="1" applyProtection="1">
      <alignment horizontal="center"/>
    </xf>
    <xf numFmtId="167" fontId="5" fillId="3" borderId="3" xfId="2" applyNumberFormat="1" applyFont="1" applyFill="1" applyBorder="1" applyAlignment="1" applyProtection="1">
      <alignment horizontal="center"/>
    </xf>
    <xf numFmtId="0" fontId="4" fillId="0" borderId="8" xfId="3" applyNumberFormat="1" applyFont="1" applyFill="1" applyBorder="1" applyAlignment="1" applyProtection="1">
      <alignment horizontal="center"/>
    </xf>
    <xf numFmtId="0" fontId="5" fillId="3" borderId="3" xfId="2" applyNumberFormat="1" applyFont="1" applyFill="1" applyBorder="1" applyAlignment="1" applyProtection="1">
      <alignment horizontal="center"/>
    </xf>
    <xf numFmtId="9" fontId="4" fillId="0" borderId="4" xfId="3" applyFont="1" applyFill="1" applyBorder="1" applyAlignment="1" applyProtection="1">
      <alignment horizontal="center"/>
    </xf>
    <xf numFmtId="0" fontId="4" fillId="2" borderId="4" xfId="0" applyFont="1" applyFill="1" applyBorder="1"/>
    <xf numFmtId="9" fontId="4" fillId="2" borderId="4" xfId="3" applyFont="1" applyFill="1" applyBorder="1" applyAlignment="1" applyProtection="1">
      <alignment horizontal="center"/>
    </xf>
    <xf numFmtId="44" fontId="7" fillId="2" borderId="4" xfId="2" applyFont="1" applyFill="1" applyBorder="1" applyAlignment="1" applyProtection="1">
      <alignment horizontal="center"/>
    </xf>
    <xf numFmtId="0" fontId="4" fillId="0" borderId="3" xfId="0" applyFont="1" applyBorder="1" applyAlignment="1">
      <alignment horizontal="left"/>
    </xf>
    <xf numFmtId="9" fontId="5" fillId="0" borderId="3" xfId="3" applyFont="1" applyFill="1" applyBorder="1" applyAlignment="1" applyProtection="1">
      <alignment horizontal="center"/>
    </xf>
    <xf numFmtId="44" fontId="5" fillId="0" borderId="3" xfId="2" applyFont="1" applyFill="1" applyBorder="1" applyAlignment="1" applyProtection="1"/>
    <xf numFmtId="0" fontId="5" fillId="0" borderId="3" xfId="0" applyFont="1" applyBorder="1" applyAlignment="1">
      <alignment horizontal="left"/>
    </xf>
    <xf numFmtId="2" fontId="5" fillId="0" borderId="3" xfId="3" applyNumberFormat="1" applyFont="1" applyFill="1" applyBorder="1" applyAlignment="1" applyProtection="1">
      <alignment horizontal="center"/>
    </xf>
    <xf numFmtId="0" fontId="5" fillId="0" borderId="5" xfId="0" applyFont="1" applyBorder="1" applyAlignment="1">
      <alignment horizontal="left"/>
    </xf>
    <xf numFmtId="2" fontId="5" fillId="0" borderId="5" xfId="3" applyNumberFormat="1" applyFont="1" applyFill="1" applyBorder="1" applyAlignment="1" applyProtection="1">
      <alignment horizontal="center"/>
    </xf>
    <xf numFmtId="44" fontId="5" fillId="0" borderId="5" xfId="2" applyFont="1" applyFill="1" applyBorder="1" applyAlignment="1" applyProtection="1"/>
    <xf numFmtId="0" fontId="4" fillId="0" borderId="5" xfId="0" applyFont="1" applyBorder="1"/>
    <xf numFmtId="10" fontId="4" fillId="0" borderId="5" xfId="3" applyNumberFormat="1" applyFont="1" applyFill="1" applyBorder="1" applyAlignment="1" applyProtection="1">
      <alignment horizontal="center"/>
    </xf>
    <xf numFmtId="44" fontId="4" fillId="0" borderId="5" xfId="2" applyFont="1" applyFill="1" applyBorder="1" applyAlignment="1" applyProtection="1"/>
    <xf numFmtId="0" fontId="4" fillId="0" borderId="3" xfId="0" applyFont="1" applyBorder="1"/>
    <xf numFmtId="10" fontId="5" fillId="0" borderId="3" xfId="3" applyNumberFormat="1" applyFont="1" applyFill="1" applyBorder="1" applyAlignment="1" applyProtection="1">
      <alignment horizontal="center"/>
    </xf>
    <xf numFmtId="44" fontId="5" fillId="0" borderId="3" xfId="2" applyFont="1" applyFill="1" applyBorder="1" applyAlignment="1" applyProtection="1">
      <alignment horizontal="right"/>
    </xf>
    <xf numFmtId="0" fontId="5" fillId="0" borderId="5" xfId="0" applyFont="1" applyBorder="1"/>
    <xf numFmtId="10" fontId="5" fillId="0" borderId="5" xfId="3" applyNumberFormat="1" applyFont="1" applyFill="1" applyBorder="1" applyAlignment="1" applyProtection="1">
      <alignment horizontal="center"/>
    </xf>
    <xf numFmtId="10" fontId="4" fillId="0" borderId="3" xfId="3" applyNumberFormat="1" applyFont="1" applyFill="1" applyBorder="1" applyAlignment="1" applyProtection="1">
      <alignment horizontal="center"/>
    </xf>
    <xf numFmtId="44" fontId="4" fillId="0" borderId="3" xfId="2" applyFont="1" applyFill="1" applyBorder="1" applyAlignment="1" applyProtection="1">
      <alignment horizontal="right"/>
    </xf>
    <xf numFmtId="0" fontId="5" fillId="0" borderId="4" xfId="0" applyFont="1" applyBorder="1"/>
    <xf numFmtId="10" fontId="5" fillId="0" borderId="4" xfId="3" applyNumberFormat="1" applyFont="1" applyFill="1" applyBorder="1" applyAlignment="1" applyProtection="1">
      <alignment horizontal="center"/>
    </xf>
    <xf numFmtId="44" fontId="5" fillId="0" borderId="4" xfId="2" applyFont="1" applyFill="1" applyBorder="1" applyAlignment="1" applyProtection="1">
      <alignment horizontal="right"/>
    </xf>
    <xf numFmtId="0" fontId="5" fillId="0" borderId="3" xfId="0" applyFont="1" applyBorder="1" applyAlignment="1">
      <alignment horizontal="left" vertical="center"/>
    </xf>
    <xf numFmtId="10" fontId="5" fillId="0" borderId="3" xfId="3" applyNumberFormat="1" applyFont="1" applyFill="1" applyBorder="1" applyAlignment="1" applyProtection="1">
      <alignment horizontal="center" vertical="center"/>
    </xf>
    <xf numFmtId="44" fontId="4" fillId="0" borderId="4" xfId="2" applyFont="1" applyFill="1" applyBorder="1" applyAlignment="1" applyProtection="1">
      <alignment horizontal="right"/>
    </xf>
    <xf numFmtId="44" fontId="4" fillId="0" borderId="3" xfId="2" applyFont="1" applyFill="1" applyBorder="1" applyAlignment="1" applyProtection="1"/>
    <xf numFmtId="0" fontId="4" fillId="4" borderId="3" xfId="0" applyFont="1" applyFill="1" applyBorder="1"/>
    <xf numFmtId="9" fontId="5" fillId="4" borderId="3" xfId="3" applyFont="1" applyFill="1" applyBorder="1" applyAlignment="1" applyProtection="1">
      <alignment horizontal="center"/>
    </xf>
    <xf numFmtId="0" fontId="5" fillId="4" borderId="4" xfId="0" applyFont="1" applyFill="1" applyBorder="1"/>
    <xf numFmtId="10" fontId="5" fillId="4" borderId="4" xfId="3" applyNumberFormat="1" applyFont="1" applyFill="1" applyBorder="1" applyAlignment="1" applyProtection="1">
      <alignment horizontal="center"/>
    </xf>
    <xf numFmtId="0" fontId="5" fillId="4" borderId="3" xfId="0" applyFont="1" applyFill="1" applyBorder="1"/>
    <xf numFmtId="10" fontId="5" fillId="4" borderId="3" xfId="3" applyNumberFormat="1" applyFont="1" applyFill="1" applyBorder="1" applyAlignment="1" applyProtection="1">
      <alignment horizontal="center"/>
    </xf>
    <xf numFmtId="0" fontId="5" fillId="0" borderId="0" xfId="0" applyFont="1"/>
    <xf numFmtId="10" fontId="5" fillId="4" borderId="5" xfId="3" applyNumberFormat="1" applyFont="1" applyFill="1" applyBorder="1" applyAlignment="1" applyProtection="1">
      <alignment horizontal="center"/>
    </xf>
    <xf numFmtId="0" fontId="4" fillId="4" borderId="5" xfId="0" applyFont="1" applyFill="1" applyBorder="1"/>
    <xf numFmtId="10" fontId="4" fillId="4" borderId="5" xfId="3" applyNumberFormat="1" applyFont="1" applyFill="1" applyBorder="1" applyAlignment="1" applyProtection="1">
      <alignment horizontal="center"/>
    </xf>
    <xf numFmtId="0" fontId="4" fillId="4" borderId="3" xfId="0" applyFont="1" applyFill="1" applyBorder="1" applyAlignment="1">
      <alignment vertical="top" wrapText="1"/>
    </xf>
    <xf numFmtId="10" fontId="4" fillId="4" borderId="3" xfId="3" applyNumberFormat="1" applyFont="1" applyFill="1" applyBorder="1" applyAlignment="1" applyProtection="1">
      <alignment horizontal="center" vertical="top"/>
    </xf>
    <xf numFmtId="10" fontId="4" fillId="4" borderId="3" xfId="3" applyNumberFormat="1" applyFont="1" applyFill="1" applyBorder="1" applyAlignment="1" applyProtection="1">
      <alignment horizontal="center"/>
    </xf>
    <xf numFmtId="0" fontId="4" fillId="4" borderId="9" xfId="0" applyFont="1" applyFill="1" applyBorder="1"/>
    <xf numFmtId="10" fontId="4" fillId="4" borderId="9" xfId="3" applyNumberFormat="1" applyFont="1" applyFill="1" applyBorder="1" applyAlignment="1" applyProtection="1">
      <alignment horizontal="center"/>
    </xf>
    <xf numFmtId="44" fontId="5" fillId="0" borderId="9" xfId="2" applyFont="1" applyFill="1" applyBorder="1" applyAlignment="1" applyProtection="1"/>
    <xf numFmtId="166" fontId="5" fillId="0" borderId="3" xfId="2" applyNumberFormat="1" applyFont="1" applyFill="1" applyBorder="1" applyAlignment="1" applyProtection="1">
      <alignment horizontal="center" vertical="center"/>
    </xf>
    <xf numFmtId="9" fontId="4" fillId="3" borderId="3" xfId="3" applyFont="1" applyFill="1" applyBorder="1" applyAlignment="1" applyProtection="1">
      <alignment horizontal="center"/>
    </xf>
    <xf numFmtId="0" fontId="4" fillId="2" borderId="3" xfId="0" applyFont="1" applyFill="1" applyBorder="1"/>
    <xf numFmtId="44" fontId="5" fillId="0" borderId="4" xfId="2" applyFont="1" applyFill="1" applyBorder="1" applyAlignment="1" applyProtection="1">
      <alignment vertical="center"/>
    </xf>
    <xf numFmtId="0" fontId="4" fillId="3" borderId="10" xfId="0" applyFont="1" applyFill="1" applyBorder="1"/>
    <xf numFmtId="0" fontId="4" fillId="2" borderId="4" xfId="0" applyFont="1" applyFill="1" applyBorder="1" applyAlignment="1">
      <alignment horizontal="left"/>
    </xf>
    <xf numFmtId="168" fontId="5" fillId="0" borderId="3" xfId="2" applyNumberFormat="1" applyFont="1" applyFill="1" applyBorder="1" applyAlignment="1" applyProtection="1"/>
    <xf numFmtId="0" fontId="4" fillId="0" borderId="12" xfId="0" applyFont="1" applyBorder="1"/>
    <xf numFmtId="44" fontId="4" fillId="0" borderId="7" xfId="2" applyFont="1" applyFill="1" applyBorder="1" applyAlignment="1" applyProtection="1"/>
    <xf numFmtId="0" fontId="4" fillId="2" borderId="10" xfId="0" applyFont="1" applyFill="1" applyBorder="1"/>
    <xf numFmtId="0" fontId="5" fillId="0" borderId="6" xfId="0" applyFont="1" applyBorder="1"/>
    <xf numFmtId="10" fontId="5" fillId="4" borderId="3" xfId="3" applyNumberFormat="1" applyFont="1" applyFill="1" applyBorder="1" applyAlignment="1" applyProtection="1">
      <alignment horizontal="center" vertical="center"/>
    </xf>
    <xf numFmtId="44" fontId="5" fillId="4" borderId="3" xfId="2" applyFont="1" applyFill="1" applyBorder="1" applyAlignment="1" applyProtection="1"/>
    <xf numFmtId="0" fontId="15" fillId="0" borderId="0" xfId="0" applyFont="1" applyAlignment="1">
      <alignment horizontal="justify" vertical="center"/>
    </xf>
    <xf numFmtId="10" fontId="5" fillId="4" borderId="11" xfId="3" applyNumberFormat="1" applyFont="1" applyFill="1" applyBorder="1" applyAlignment="1" applyProtection="1">
      <alignment horizontal="center"/>
    </xf>
    <xf numFmtId="9" fontId="4" fillId="4" borderId="3" xfId="3" applyFont="1" applyFill="1" applyBorder="1" applyAlignment="1" applyProtection="1">
      <alignment horizontal="center"/>
    </xf>
    <xf numFmtId="44" fontId="0" fillId="0" borderId="0" xfId="0" applyNumberFormat="1"/>
    <xf numFmtId="166" fontId="6" fillId="4" borderId="3" xfId="2" applyNumberFormat="1" applyFont="1" applyFill="1" applyBorder="1" applyAlignment="1" applyProtection="1">
      <alignment horizontal="center" vertical="center"/>
    </xf>
    <xf numFmtId="9" fontId="4" fillId="5" borderId="3" xfId="3" applyFont="1" applyFill="1" applyBorder="1" applyAlignment="1" applyProtection="1">
      <alignment horizontal="center"/>
    </xf>
    <xf numFmtId="9" fontId="5" fillId="4" borderId="4" xfId="3" applyFont="1" applyFill="1" applyBorder="1" applyAlignment="1" applyProtection="1">
      <alignment horizontal="center" vertical="center"/>
    </xf>
    <xf numFmtId="44" fontId="5" fillId="4" borderId="4" xfId="2" applyFont="1" applyFill="1" applyBorder="1" applyAlignment="1" applyProtection="1">
      <alignment vertical="center"/>
    </xf>
    <xf numFmtId="9" fontId="5" fillId="4" borderId="5" xfId="3" applyFont="1" applyFill="1" applyBorder="1" applyAlignment="1" applyProtection="1">
      <alignment horizontal="center" vertical="center"/>
    </xf>
    <xf numFmtId="44" fontId="5" fillId="4" borderId="5" xfId="2" applyFont="1" applyFill="1" applyBorder="1" applyAlignment="1" applyProtection="1">
      <alignment vertical="center"/>
    </xf>
    <xf numFmtId="0" fontId="0" fillId="4" borderId="0" xfId="0" applyFill="1"/>
    <xf numFmtId="43" fontId="5" fillId="4" borderId="4" xfId="1" applyFont="1" applyFill="1" applyBorder="1" applyAlignment="1" applyProtection="1">
      <alignment horizontal="center"/>
    </xf>
    <xf numFmtId="43" fontId="5" fillId="4" borderId="3" xfId="1" applyFont="1" applyFill="1" applyBorder="1" applyAlignment="1" applyProtection="1">
      <alignment horizontal="center"/>
    </xf>
    <xf numFmtId="44" fontId="5" fillId="4" borderId="3" xfId="2" applyFont="1" applyFill="1" applyBorder="1" applyAlignment="1" applyProtection="1">
      <alignment horizontal="right"/>
    </xf>
    <xf numFmtId="0" fontId="5" fillId="0" borderId="44" xfId="0" applyFont="1" applyBorder="1"/>
    <xf numFmtId="44" fontId="7" fillId="2" borderId="30" xfId="2" applyFont="1" applyFill="1" applyBorder="1" applyAlignment="1" applyProtection="1">
      <alignment horizontal="center"/>
    </xf>
    <xf numFmtId="0" fontId="0" fillId="0" borderId="0" xfId="0" applyBorder="1"/>
    <xf numFmtId="0" fontId="4" fillId="0" borderId="3" xfId="0" applyFont="1" applyBorder="1" applyAlignment="1">
      <alignment horizontal="center"/>
    </xf>
    <xf numFmtId="9" fontId="0" fillId="0" borderId="0" xfId="3" applyFont="1"/>
    <xf numFmtId="10" fontId="0" fillId="0" borderId="0" xfId="3" applyNumberFormat="1" applyFont="1"/>
    <xf numFmtId="172" fontId="0" fillId="0" borderId="0" xfId="0" applyNumberFormat="1"/>
    <xf numFmtId="44" fontId="0" fillId="0" borderId="0" xfId="0" applyNumberFormat="1" applyBorder="1"/>
    <xf numFmtId="10" fontId="0" fillId="0" borderId="0" xfId="3" applyNumberFormat="1" applyFont="1" applyBorder="1"/>
    <xf numFmtId="10" fontId="5" fillId="0" borderId="12" xfId="3" applyNumberFormat="1" applyFont="1" applyFill="1" applyBorder="1" applyAlignment="1" applyProtection="1">
      <alignment horizontal="center"/>
    </xf>
    <xf numFmtId="10" fontId="4" fillId="0" borderId="12" xfId="3" applyNumberFormat="1" applyFont="1" applyFill="1" applyBorder="1" applyAlignment="1" applyProtection="1">
      <alignment horizontal="center"/>
    </xf>
    <xf numFmtId="44" fontId="5" fillId="0" borderId="16" xfId="2" applyFont="1" applyFill="1" applyBorder="1" applyAlignment="1" applyProtection="1">
      <alignment horizontal="right"/>
    </xf>
    <xf numFmtId="44" fontId="4" fillId="0" borderId="16" xfId="2" applyFont="1" applyFill="1" applyBorder="1" applyAlignment="1" applyProtection="1">
      <alignment horizontal="right"/>
    </xf>
    <xf numFmtId="44" fontId="4" fillId="0" borderId="5" xfId="2" applyFont="1" applyFill="1" applyBorder="1" applyAlignment="1" applyProtection="1">
      <alignment horizontal="right"/>
    </xf>
    <xf numFmtId="165" fontId="5" fillId="4" borderId="4" xfId="3" applyNumberFormat="1" applyFont="1" applyFill="1" applyBorder="1" applyAlignment="1" applyProtection="1">
      <alignment horizontal="center"/>
    </xf>
    <xf numFmtId="165" fontId="5" fillId="0" borderId="4" xfId="3" applyNumberFormat="1" applyFont="1" applyFill="1" applyBorder="1" applyAlignment="1" applyProtection="1">
      <alignment horizontal="right" vertical="center"/>
    </xf>
    <xf numFmtId="165" fontId="5" fillId="4" borderId="3" xfId="3" applyNumberFormat="1" applyFont="1" applyFill="1" applyBorder="1" applyAlignment="1" applyProtection="1">
      <alignment horizontal="center"/>
    </xf>
    <xf numFmtId="44" fontId="4" fillId="2" borderId="5" xfId="2" applyFont="1" applyFill="1" applyBorder="1" applyAlignment="1" applyProtection="1"/>
    <xf numFmtId="0" fontId="5" fillId="0" borderId="12" xfId="0" applyFont="1" applyBorder="1"/>
    <xf numFmtId="0" fontId="4" fillId="2" borderId="13" xfId="0" applyFont="1" applyFill="1" applyBorder="1" applyAlignment="1">
      <alignment horizontal="left"/>
    </xf>
    <xf numFmtId="10" fontId="5" fillId="2" borderId="14" xfId="3" applyNumberFormat="1" applyFont="1" applyFill="1" applyBorder="1" applyAlignment="1" applyProtection="1">
      <alignment horizontal="center"/>
    </xf>
    <xf numFmtId="0" fontId="4" fillId="0" borderId="9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44" fontId="4" fillId="0" borderId="9" xfId="2" applyFont="1" applyFill="1" applyBorder="1" applyAlignment="1" applyProtection="1"/>
    <xf numFmtId="44" fontId="5" fillId="0" borderId="4" xfId="2" applyFont="1" applyFill="1" applyBorder="1" applyAlignment="1" applyProtection="1">
      <alignment horizontal="right" vertical="center"/>
    </xf>
    <xf numFmtId="0" fontId="5" fillId="0" borderId="13" xfId="0" applyFont="1" applyBorder="1"/>
    <xf numFmtId="0" fontId="4" fillId="2" borderId="30" xfId="0" applyFont="1" applyFill="1" applyBorder="1" applyAlignment="1">
      <alignment horizontal="left"/>
    </xf>
    <xf numFmtId="10" fontId="5" fillId="2" borderId="30" xfId="3" applyNumberFormat="1" applyFont="1" applyFill="1" applyBorder="1" applyAlignment="1" applyProtection="1">
      <alignment horizontal="center"/>
    </xf>
    <xf numFmtId="0" fontId="4" fillId="0" borderId="30" xfId="0" applyFont="1" applyBorder="1" applyAlignment="1">
      <alignment horizontal="left" vertical="center"/>
    </xf>
    <xf numFmtId="0" fontId="4" fillId="0" borderId="30" xfId="0" applyFont="1" applyBorder="1" applyAlignment="1">
      <alignment horizontal="center" vertical="center"/>
    </xf>
    <xf numFmtId="44" fontId="4" fillId="0" borderId="30" xfId="2" applyFont="1" applyFill="1" applyBorder="1" applyAlignment="1" applyProtection="1"/>
    <xf numFmtId="164" fontId="19" fillId="0" borderId="1" xfId="0" applyNumberFormat="1" applyFont="1" applyBorder="1" applyAlignment="1">
      <alignment horizontal="center"/>
    </xf>
    <xf numFmtId="0" fontId="19" fillId="0" borderId="2" xfId="0" applyFont="1" applyBorder="1" applyAlignment="1">
      <alignment horizontal="left"/>
    </xf>
    <xf numFmtId="0" fontId="4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44" fontId="5" fillId="0" borderId="7" xfId="2" applyFont="1" applyFill="1" applyBorder="1" applyAlignment="1" applyProtection="1">
      <alignment horizontal="center"/>
    </xf>
    <xf numFmtId="166" fontId="5" fillId="3" borderId="4" xfId="2" applyNumberFormat="1" applyFont="1" applyFill="1" applyBorder="1" applyAlignment="1" applyProtection="1">
      <alignment horizontal="center"/>
    </xf>
    <xf numFmtId="0" fontId="19" fillId="0" borderId="2" xfId="0" applyFont="1" applyBorder="1" applyAlignment="1">
      <alignment horizontal="center" vertical="center"/>
    </xf>
    <xf numFmtId="165" fontId="5" fillId="0" borderId="4" xfId="3" applyNumberFormat="1" applyFont="1" applyFill="1" applyBorder="1" applyAlignment="1" applyProtection="1">
      <alignment horizontal="left" vertical="center"/>
    </xf>
    <xf numFmtId="0" fontId="4" fillId="2" borderId="12" xfId="0" applyFont="1" applyFill="1" applyBorder="1"/>
    <xf numFmtId="9" fontId="4" fillId="2" borderId="16" xfId="3" applyFont="1" applyFill="1" applyBorder="1" applyAlignment="1" applyProtection="1">
      <alignment horizontal="center"/>
    </xf>
    <xf numFmtId="44" fontId="7" fillId="2" borderId="16" xfId="2" applyFont="1" applyFill="1" applyBorder="1" applyAlignment="1" applyProtection="1">
      <alignment horizontal="center"/>
    </xf>
    <xf numFmtId="44" fontId="15" fillId="0" borderId="0" xfId="0" applyNumberFormat="1" applyFont="1" applyAlignment="1">
      <alignment horizontal="justify" vertical="center"/>
    </xf>
    <xf numFmtId="44" fontId="4" fillId="4" borderId="5" xfId="2" applyFont="1" applyFill="1" applyBorder="1" applyAlignment="1" applyProtection="1"/>
    <xf numFmtId="9" fontId="4" fillId="5" borderId="9" xfId="3" applyFont="1" applyFill="1" applyBorder="1" applyAlignment="1" applyProtection="1">
      <alignment horizontal="center"/>
    </xf>
    <xf numFmtId="44" fontId="4" fillId="5" borderId="9" xfId="2" applyFont="1" applyFill="1" applyBorder="1" applyAlignment="1" applyProtection="1"/>
    <xf numFmtId="0" fontId="22" fillId="0" borderId="0" xfId="0" applyFont="1"/>
    <xf numFmtId="0" fontId="21" fillId="0" borderId="0" xfId="0" applyFont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3" fontId="25" fillId="0" borderId="3" xfId="0" applyNumberFormat="1" applyFont="1" applyBorder="1" applyAlignment="1">
      <alignment horizontal="center"/>
    </xf>
    <xf numFmtId="0" fontId="25" fillId="0" borderId="3" xfId="0" applyFont="1" applyBorder="1" applyAlignment="1">
      <alignment horizontal="left"/>
    </xf>
    <xf numFmtId="171" fontId="25" fillId="0" borderId="3" xfId="0" applyNumberFormat="1" applyFont="1" applyBorder="1" applyAlignment="1">
      <alignment horizontal="center"/>
    </xf>
    <xf numFmtId="44" fontId="25" fillId="0" borderId="3" xfId="2" applyFont="1" applyBorder="1" applyAlignment="1">
      <alignment horizontal="center"/>
    </xf>
    <xf numFmtId="44" fontId="25" fillId="0" borderId="3" xfId="2" applyFont="1" applyBorder="1" applyAlignment="1">
      <alignment horizontal="center" vertical="center"/>
    </xf>
    <xf numFmtId="44" fontId="23" fillId="9" borderId="3" xfId="2" applyFont="1" applyFill="1" applyBorder="1" applyAlignment="1">
      <alignment horizontal="center"/>
    </xf>
    <xf numFmtId="0" fontId="23" fillId="0" borderId="0" xfId="0" applyFont="1" applyAlignment="1">
      <alignment horizontal="left"/>
    </xf>
    <xf numFmtId="0" fontId="23" fillId="8" borderId="3" xfId="0" applyFont="1" applyFill="1" applyBorder="1" applyAlignment="1">
      <alignment horizontal="center" vertical="center"/>
    </xf>
    <xf numFmtId="44" fontId="28" fillId="3" borderId="3" xfId="2" applyFont="1" applyFill="1" applyBorder="1" applyAlignment="1" applyProtection="1">
      <alignment horizontal="center" vertical="center"/>
    </xf>
    <xf numFmtId="44" fontId="29" fillId="3" borderId="3" xfId="2" applyFont="1" applyFill="1" applyBorder="1" applyAlignment="1" applyProtection="1">
      <alignment horizontal="center" vertical="center"/>
    </xf>
    <xf numFmtId="44" fontId="29" fillId="8" borderId="3" xfId="2" applyFont="1" applyFill="1" applyBorder="1" applyAlignment="1" applyProtection="1">
      <alignment horizontal="center" vertical="center"/>
    </xf>
    <xf numFmtId="0" fontId="15" fillId="0" borderId="0" xfId="0" applyFont="1"/>
    <xf numFmtId="0" fontId="25" fillId="0" borderId="12" xfId="0" applyFont="1" applyBorder="1" applyAlignment="1">
      <alignment horizontal="left" indent="2"/>
    </xf>
    <xf numFmtId="0" fontId="25" fillId="0" borderId="7" xfId="0" applyFont="1" applyBorder="1"/>
    <xf numFmtId="3" fontId="23" fillId="4" borderId="3" xfId="0" applyNumberFormat="1" applyFont="1" applyFill="1" applyBorder="1" applyAlignment="1">
      <alignment horizontal="center"/>
    </xf>
    <xf numFmtId="0" fontId="25" fillId="0" borderId="16" xfId="0" applyFont="1" applyBorder="1" applyAlignment="1">
      <alignment horizontal="center"/>
    </xf>
    <xf numFmtId="0" fontId="25" fillId="0" borderId="12" xfId="0" applyFont="1" applyBorder="1"/>
    <xf numFmtId="0" fontId="25" fillId="0" borderId="4" xfId="0" applyFont="1" applyBorder="1" applyAlignment="1">
      <alignment horizontal="center"/>
    </xf>
    <xf numFmtId="0" fontId="25" fillId="0" borderId="3" xfId="0" applyFont="1" applyBorder="1" applyAlignment="1">
      <alignment horizontal="left" indent="2"/>
    </xf>
    <xf numFmtId="4" fontId="25" fillId="0" borderId="3" xfId="0" applyNumberFormat="1" applyFont="1" applyBorder="1" applyAlignment="1">
      <alignment horizontal="center"/>
    </xf>
    <xf numFmtId="0" fontId="23" fillId="0" borderId="0" xfId="0" applyFont="1" applyAlignment="1">
      <alignment horizontal="center"/>
    </xf>
    <xf numFmtId="44" fontId="23" fillId="11" borderId="12" xfId="2" applyFont="1" applyFill="1" applyBorder="1" applyAlignment="1" applyProtection="1">
      <alignment horizontal="center"/>
      <protection locked="0"/>
    </xf>
    <xf numFmtId="170" fontId="23" fillId="11" borderId="3" xfId="0" applyNumberFormat="1" applyFont="1" applyFill="1" applyBorder="1" applyAlignment="1" applyProtection="1">
      <alignment horizontal="center"/>
      <protection locked="0"/>
    </xf>
    <xf numFmtId="44" fontId="4" fillId="17" borderId="3" xfId="2" applyFont="1" applyFill="1" applyBorder="1" applyAlignment="1">
      <alignment horizontal="center"/>
    </xf>
    <xf numFmtId="0" fontId="31" fillId="12" borderId="16" xfId="5" applyFont="1" applyFill="1" applyBorder="1" applyAlignment="1">
      <alignment horizontal="center" vertical="center" wrapText="1"/>
    </xf>
    <xf numFmtId="0" fontId="4" fillId="0" borderId="42" xfId="6" applyFont="1" applyBorder="1" applyAlignment="1">
      <alignment horizontal="center" vertical="center" wrapText="1"/>
    </xf>
    <xf numFmtId="0" fontId="15" fillId="0" borderId="0" xfId="6" applyFont="1" applyAlignment="1">
      <alignment wrapText="1"/>
    </xf>
    <xf numFmtId="0" fontId="5" fillId="0" borderId="42" xfId="6" applyFont="1" applyBorder="1" applyAlignment="1">
      <alignment horizontal="center" vertical="center" wrapText="1"/>
    </xf>
    <xf numFmtId="44" fontId="5" fillId="0" borderId="16" xfId="2" applyFont="1" applyFill="1" applyBorder="1" applyAlignment="1" applyProtection="1">
      <alignment horizontal="right" vertical="center" indent="1"/>
    </xf>
    <xf numFmtId="0" fontId="4" fillId="0" borderId="16" xfId="6" applyFont="1" applyBorder="1" applyAlignment="1">
      <alignment horizontal="center" vertical="center" wrapText="1"/>
    </xf>
    <xf numFmtId="0" fontId="5" fillId="0" borderId="16" xfId="6" applyFont="1" applyBorder="1" applyAlignment="1">
      <alignment horizontal="justify" vertical="center" wrapText="1"/>
    </xf>
    <xf numFmtId="0" fontId="5" fillId="0" borderId="16" xfId="6" applyFont="1" applyBorder="1" applyAlignment="1">
      <alignment horizontal="center" vertical="center" wrapText="1"/>
    </xf>
    <xf numFmtId="0" fontId="5" fillId="0" borderId="0" xfId="6" applyFont="1" applyAlignment="1">
      <alignment wrapText="1"/>
    </xf>
    <xf numFmtId="0" fontId="4" fillId="4" borderId="0" xfId="6" applyFont="1" applyFill="1" applyAlignment="1">
      <alignment horizontal="center" vertical="center" wrapText="1"/>
    </xf>
    <xf numFmtId="0" fontId="5" fillId="4" borderId="0" xfId="6" applyFont="1" applyFill="1" applyAlignment="1">
      <alignment horizontal="justify" vertical="center" wrapText="1"/>
    </xf>
    <xf numFmtId="0" fontId="5" fillId="4" borderId="0" xfId="6" applyFont="1" applyFill="1" applyAlignment="1">
      <alignment horizontal="center" vertical="center" wrapText="1"/>
    </xf>
    <xf numFmtId="4" fontId="5" fillId="4" borderId="0" xfId="7" applyNumberFormat="1" applyFont="1" applyFill="1" applyBorder="1" applyAlignment="1" applyProtection="1">
      <alignment horizontal="right" vertical="center" indent="1"/>
    </xf>
    <xf numFmtId="44" fontId="4" fillId="14" borderId="42" xfId="2" applyFont="1" applyFill="1" applyBorder="1" applyAlignment="1" applyProtection="1">
      <alignment horizontal="right" vertical="center" indent="1"/>
    </xf>
    <xf numFmtId="44" fontId="4" fillId="4" borderId="42" xfId="2" applyFont="1" applyFill="1" applyBorder="1" applyAlignment="1" applyProtection="1">
      <alignment horizontal="right" vertical="center" indent="1"/>
    </xf>
    <xf numFmtId="0" fontId="4" fillId="4" borderId="16" xfId="6" applyFont="1" applyFill="1" applyBorder="1" applyAlignment="1">
      <alignment horizontal="center" vertical="center" wrapText="1"/>
    </xf>
    <xf numFmtId="0" fontId="5" fillId="4" borderId="16" xfId="6" applyFont="1" applyFill="1" applyBorder="1" applyAlignment="1">
      <alignment horizontal="left" vertical="center" wrapText="1"/>
    </xf>
    <xf numFmtId="0" fontId="5" fillId="4" borderId="42" xfId="6" applyFont="1" applyFill="1" applyBorder="1" applyAlignment="1">
      <alignment horizontal="center" vertical="center" wrapText="1"/>
    </xf>
    <xf numFmtId="44" fontId="5" fillId="4" borderId="42" xfId="2" applyFont="1" applyFill="1" applyBorder="1" applyAlignment="1" applyProtection="1">
      <alignment horizontal="right" vertical="center" indent="1"/>
    </xf>
    <xf numFmtId="0" fontId="5" fillId="4" borderId="16" xfId="6" applyFont="1" applyFill="1" applyBorder="1" applyAlignment="1">
      <alignment horizontal="center" vertical="center" wrapText="1"/>
    </xf>
    <xf numFmtId="0" fontId="5" fillId="0" borderId="16" xfId="6" applyFont="1" applyBorder="1" applyAlignment="1">
      <alignment horizontal="left" vertical="center" wrapText="1"/>
    </xf>
    <xf numFmtId="44" fontId="5" fillId="0" borderId="42" xfId="2" applyFont="1" applyFill="1" applyBorder="1" applyAlignment="1" applyProtection="1">
      <alignment horizontal="right" vertical="center" indent="1"/>
    </xf>
    <xf numFmtId="44" fontId="4" fillId="4" borderId="16" xfId="2" applyFont="1" applyFill="1" applyBorder="1" applyAlignment="1" applyProtection="1">
      <alignment horizontal="right" vertical="center" indent="1"/>
    </xf>
    <xf numFmtId="44" fontId="32" fillId="4" borderId="16" xfId="2" applyFont="1" applyFill="1" applyBorder="1"/>
    <xf numFmtId="44" fontId="5" fillId="4" borderId="0" xfId="2" applyFont="1" applyFill="1" applyBorder="1" applyAlignment="1" applyProtection="1">
      <alignment horizontal="right" vertical="center" indent="1"/>
    </xf>
    <xf numFmtId="0" fontId="33" fillId="4" borderId="0" xfId="0" applyFont="1" applyFill="1"/>
    <xf numFmtId="0" fontId="4" fillId="12" borderId="16" xfId="5" applyFont="1" applyFill="1" applyBorder="1" applyAlignment="1">
      <alignment horizontal="center" vertical="center" wrapText="1"/>
    </xf>
    <xf numFmtId="0" fontId="33" fillId="0" borderId="0" xfId="0" applyFont="1"/>
    <xf numFmtId="44" fontId="4" fillId="15" borderId="27" xfId="8" applyNumberFormat="1" applyFont="1" applyBorder="1" applyAlignment="1" applyProtection="1">
      <alignment horizontal="center" vertical="center"/>
    </xf>
    <xf numFmtId="44" fontId="5" fillId="3" borderId="42" xfId="2" applyFont="1" applyFill="1" applyBorder="1" applyAlignment="1" applyProtection="1">
      <alignment vertical="center"/>
    </xf>
    <xf numFmtId="44" fontId="5" fillId="3" borderId="42" xfId="2" applyFont="1" applyFill="1" applyBorder="1" applyAlignment="1" applyProtection="1">
      <alignment horizontal="left" vertical="center"/>
    </xf>
    <xf numFmtId="44" fontId="5" fillId="3" borderId="50" xfId="2" applyFont="1" applyFill="1" applyBorder="1" applyAlignment="1" applyProtection="1">
      <alignment horizontal="left" vertical="center"/>
    </xf>
    <xf numFmtId="44" fontId="5" fillId="3" borderId="16" xfId="2" applyFont="1" applyFill="1" applyBorder="1" applyAlignment="1" applyProtection="1">
      <alignment vertical="center"/>
    </xf>
    <xf numFmtId="44" fontId="5" fillId="3" borderId="16" xfId="2" applyFont="1" applyFill="1" applyBorder="1" applyAlignment="1" applyProtection="1">
      <alignment horizontal="left" vertical="center"/>
    </xf>
    <xf numFmtId="44" fontId="5" fillId="3" borderId="51" xfId="2" applyFont="1" applyFill="1" applyBorder="1" applyAlignment="1" applyProtection="1">
      <alignment horizontal="left" vertical="center"/>
    </xf>
    <xf numFmtId="44" fontId="5" fillId="3" borderId="53" xfId="2" applyFont="1" applyFill="1" applyBorder="1" applyAlignment="1" applyProtection="1">
      <alignment vertical="center"/>
    </xf>
    <xf numFmtId="44" fontId="5" fillId="3" borderId="53" xfId="2" applyFont="1" applyFill="1" applyBorder="1" applyAlignment="1" applyProtection="1">
      <alignment horizontal="left" vertical="center"/>
    </xf>
    <xf numFmtId="44" fontId="4" fillId="3" borderId="28" xfId="2" applyFont="1" applyFill="1" applyBorder="1" applyAlignment="1" applyProtection="1">
      <alignment horizontal="center" vertical="center"/>
    </xf>
    <xf numFmtId="44" fontId="4" fillId="3" borderId="29" xfId="2" applyFont="1" applyFill="1" applyBorder="1" applyAlignment="1" applyProtection="1">
      <alignment horizontal="center" vertical="center"/>
    </xf>
    <xf numFmtId="44" fontId="4" fillId="3" borderId="25" xfId="2" applyFont="1" applyFill="1" applyBorder="1" applyAlignment="1" applyProtection="1">
      <alignment horizontal="left" vertical="center" indent="1"/>
    </xf>
    <xf numFmtId="44" fontId="4" fillId="3" borderId="30" xfId="2" applyFont="1" applyFill="1" applyBorder="1" applyAlignment="1" applyProtection="1">
      <alignment horizontal="left" vertical="center" indent="1"/>
    </xf>
    <xf numFmtId="0" fontId="15" fillId="0" borderId="0" xfId="0" applyFont="1" applyBorder="1"/>
    <xf numFmtId="173" fontId="5" fillId="7" borderId="57" xfId="0" applyNumberFormat="1" applyFont="1" applyFill="1" applyBorder="1" applyAlignment="1" applyProtection="1">
      <alignment horizontal="center" vertical="center" wrapText="1"/>
      <protection locked="0"/>
    </xf>
    <xf numFmtId="9" fontId="5" fillId="7" borderId="35" xfId="3" applyFont="1" applyFill="1" applyBorder="1" applyAlignment="1" applyProtection="1">
      <alignment horizontal="center" vertical="center" wrapText="1"/>
      <protection locked="0"/>
    </xf>
    <xf numFmtId="9" fontId="5" fillId="7" borderId="38" xfId="3" applyNumberFormat="1" applyFont="1" applyFill="1" applyBorder="1" applyAlignment="1" applyProtection="1">
      <alignment horizontal="center" vertical="center" wrapText="1"/>
      <protection locked="0"/>
    </xf>
    <xf numFmtId="0" fontId="15" fillId="6" borderId="42" xfId="0" applyFont="1" applyFill="1" applyBorder="1"/>
    <xf numFmtId="0" fontId="31" fillId="0" borderId="0" xfId="0" applyFont="1"/>
    <xf numFmtId="0" fontId="4" fillId="0" borderId="4" xfId="0" applyFont="1" applyBorder="1"/>
    <xf numFmtId="0" fontId="4" fillId="2" borderId="16" xfId="0" applyFont="1" applyFill="1" applyBorder="1"/>
    <xf numFmtId="0" fontId="36" fillId="0" borderId="0" xfId="0" applyFont="1" applyBorder="1"/>
    <xf numFmtId="0" fontId="40" fillId="0" borderId="0" xfId="0" applyFont="1" applyBorder="1"/>
    <xf numFmtId="0" fontId="37" fillId="0" borderId="0" xfId="0" applyFont="1" applyBorder="1" applyAlignment="1">
      <alignment vertical="center"/>
    </xf>
    <xf numFmtId="0" fontId="38" fillId="0" borderId="0" xfId="0" applyFont="1" applyBorder="1" applyAlignment="1">
      <alignment horizontal="center" vertical="center"/>
    </xf>
    <xf numFmtId="10" fontId="38" fillId="0" borderId="0" xfId="3" applyNumberFormat="1" applyFont="1" applyBorder="1" applyAlignment="1">
      <alignment horizontal="center" vertical="center"/>
    </xf>
    <xf numFmtId="0" fontId="36" fillId="0" borderId="0" xfId="0" applyFont="1"/>
    <xf numFmtId="0" fontId="39" fillId="0" borderId="0" xfId="0" applyFont="1"/>
    <xf numFmtId="0" fontId="40" fillId="0" borderId="0" xfId="0" applyFont="1"/>
    <xf numFmtId="0" fontId="15" fillId="6" borderId="16" xfId="0" applyFont="1" applyFill="1" applyBorder="1" applyAlignment="1" applyProtection="1">
      <alignment horizontal="left" vertical="center"/>
      <protection locked="0"/>
    </xf>
    <xf numFmtId="0" fontId="0" fillId="0" borderId="0" xfId="0" applyProtection="1"/>
    <xf numFmtId="0" fontId="31" fillId="0" borderId="66" xfId="0" applyFont="1" applyBorder="1" applyAlignment="1" applyProtection="1">
      <alignment horizontal="right"/>
    </xf>
    <xf numFmtId="0" fontId="15" fillId="0" borderId="67" xfId="0" applyFont="1" applyBorder="1" applyAlignment="1" applyProtection="1">
      <alignment horizontal="left" vertical="center"/>
    </xf>
    <xf numFmtId="0" fontId="31" fillId="0" borderId="67" xfId="0" applyFont="1" applyBorder="1" applyAlignment="1" applyProtection="1">
      <alignment horizontal="right" vertical="center"/>
    </xf>
    <xf numFmtId="0" fontId="31" fillId="0" borderId="24" xfId="0" applyFont="1" applyBorder="1" applyAlignment="1" applyProtection="1">
      <alignment horizontal="right"/>
    </xf>
    <xf numFmtId="0" fontId="31" fillId="0" borderId="16" xfId="0" applyFont="1" applyBorder="1" applyAlignment="1" applyProtection="1">
      <alignment horizontal="right" vertical="center"/>
    </xf>
    <xf numFmtId="0" fontId="31" fillId="0" borderId="52" xfId="0" applyFont="1" applyBorder="1" applyAlignment="1" applyProtection="1">
      <alignment horizontal="right"/>
    </xf>
    <xf numFmtId="0" fontId="15" fillId="0" borderId="0" xfId="0" applyFont="1" applyProtection="1"/>
    <xf numFmtId="0" fontId="4" fillId="0" borderId="31" xfId="0" applyFont="1" applyBorder="1" applyAlignment="1" applyProtection="1">
      <alignment horizontal="center"/>
    </xf>
    <xf numFmtId="0" fontId="4" fillId="0" borderId="32" xfId="0" applyFont="1" applyBorder="1" applyAlignment="1" applyProtection="1">
      <alignment horizontal="center"/>
    </xf>
    <xf numFmtId="0" fontId="4" fillId="0" borderId="59" xfId="0" applyFont="1" applyBorder="1" applyAlignment="1" applyProtection="1">
      <alignment horizontal="center"/>
    </xf>
    <xf numFmtId="0" fontId="4" fillId="15" borderId="70" xfId="8" applyFont="1" applyBorder="1" applyAlignment="1" applyProtection="1">
      <alignment horizontal="center" vertical="center"/>
    </xf>
    <xf numFmtId="0" fontId="4" fillId="15" borderId="27" xfId="8" applyFont="1" applyBorder="1" applyAlignment="1" applyProtection="1">
      <alignment horizontal="center" vertical="center"/>
    </xf>
    <xf numFmtId="0" fontId="4" fillId="15" borderId="27" xfId="8" applyFont="1" applyBorder="1" applyAlignment="1" applyProtection="1">
      <alignment horizontal="center" vertical="center" wrapText="1"/>
    </xf>
    <xf numFmtId="169" fontId="4" fillId="15" borderId="27" xfId="8" applyNumberFormat="1" applyFont="1" applyBorder="1" applyAlignment="1" applyProtection="1">
      <alignment horizontal="center" vertical="center"/>
    </xf>
    <xf numFmtId="169" fontId="4" fillId="15" borderId="71" xfId="8" applyNumberFormat="1" applyFont="1" applyBorder="1" applyAlignment="1" applyProtection="1">
      <alignment horizontal="center" vertical="center"/>
    </xf>
    <xf numFmtId="0" fontId="5" fillId="3" borderId="22" xfId="0" applyFont="1" applyFill="1" applyBorder="1" applyAlignment="1" applyProtection="1">
      <alignment horizontal="center" vertical="center"/>
    </xf>
    <xf numFmtId="0" fontId="5" fillId="3" borderId="42" xfId="0" applyFont="1" applyFill="1" applyBorder="1" applyAlignment="1" applyProtection="1">
      <alignment vertical="center" wrapText="1"/>
    </xf>
    <xf numFmtId="0" fontId="5" fillId="3" borderId="42" xfId="0" applyFont="1" applyFill="1" applyBorder="1" applyAlignment="1" applyProtection="1">
      <alignment horizontal="center" vertical="center" wrapText="1"/>
    </xf>
    <xf numFmtId="0" fontId="5" fillId="3" borderId="42" xfId="0" applyFont="1" applyFill="1" applyBorder="1" applyAlignment="1" applyProtection="1">
      <alignment horizontal="center" vertical="center"/>
    </xf>
    <xf numFmtId="0" fontId="5" fillId="3" borderId="21" xfId="0" applyFont="1" applyFill="1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/>
    </xf>
    <xf numFmtId="0" fontId="5" fillId="3" borderId="23" xfId="0" applyFont="1" applyFill="1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/>
    </xf>
    <xf numFmtId="0" fontId="5" fillId="3" borderId="52" xfId="0" applyFont="1" applyFill="1" applyBorder="1" applyAlignment="1" applyProtection="1">
      <alignment horizontal="center" vertical="center"/>
    </xf>
    <xf numFmtId="0" fontId="5" fillId="3" borderId="53" xfId="0" applyFont="1" applyFill="1" applyBorder="1" applyAlignment="1" applyProtection="1">
      <alignment vertical="center"/>
    </xf>
    <xf numFmtId="0" fontId="5" fillId="3" borderId="53" xfId="0" applyFont="1" applyFill="1" applyBorder="1" applyAlignment="1" applyProtection="1">
      <alignment horizontal="center" vertical="center" wrapText="1"/>
    </xf>
    <xf numFmtId="3" fontId="4" fillId="3" borderId="27" xfId="0" applyNumberFormat="1" applyFont="1" applyFill="1" applyBorder="1" applyAlignment="1" applyProtection="1">
      <alignment horizontal="center" vertical="center"/>
    </xf>
    <xf numFmtId="0" fontId="15" fillId="0" borderId="31" xfId="0" applyFont="1" applyBorder="1" applyAlignment="1" applyProtection="1">
      <alignment horizontal="center"/>
    </xf>
    <xf numFmtId="0" fontId="15" fillId="0" borderId="32" xfId="0" applyFont="1" applyBorder="1" applyProtection="1"/>
    <xf numFmtId="0" fontId="15" fillId="0" borderId="0" xfId="0" applyFont="1" applyBorder="1" applyProtection="1"/>
    <xf numFmtId="0" fontId="4" fillId="15" borderId="47" xfId="8" applyFont="1" applyBorder="1" applyAlignment="1" applyProtection="1">
      <alignment vertical="center"/>
    </xf>
    <xf numFmtId="0" fontId="5" fillId="15" borderId="48" xfId="8" applyFont="1" applyBorder="1" applyAlignment="1" applyProtection="1">
      <alignment vertical="center"/>
    </xf>
    <xf numFmtId="0" fontId="5" fillId="15" borderId="49" xfId="8" applyFont="1" applyBorder="1" applyAlignment="1" applyProtection="1">
      <alignment vertical="center"/>
    </xf>
    <xf numFmtId="0" fontId="4" fillId="0" borderId="2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54" xfId="0" applyFont="1" applyBorder="1" applyAlignment="1" applyProtection="1">
      <alignment horizontal="center" vertical="center"/>
    </xf>
    <xf numFmtId="0" fontId="5" fillId="0" borderId="55" xfId="0" applyFont="1" applyBorder="1" applyAlignment="1" applyProtection="1">
      <alignment horizontal="center" vertical="center"/>
    </xf>
    <xf numFmtId="0" fontId="4" fillId="0" borderId="56" xfId="0" applyFont="1" applyBorder="1" applyAlignment="1" applyProtection="1">
      <alignment vertical="center"/>
    </xf>
    <xf numFmtId="44" fontId="15" fillId="0" borderId="0" xfId="0" applyNumberFormat="1" applyFont="1" applyProtection="1"/>
    <xf numFmtId="0" fontId="15" fillId="0" borderId="22" xfId="0" applyFont="1" applyBorder="1" applyAlignment="1" applyProtection="1">
      <alignment horizontal="center" vertical="center"/>
    </xf>
    <xf numFmtId="0" fontId="15" fillId="0" borderId="0" xfId="0" applyFont="1" applyAlignment="1" applyProtection="1">
      <alignment vertical="center"/>
    </xf>
    <xf numFmtId="0" fontId="4" fillId="15" borderId="33" xfId="8" applyFont="1" applyBorder="1" applyAlignment="1" applyProtection="1">
      <alignment vertical="center"/>
    </xf>
    <xf numFmtId="0" fontId="34" fillId="15" borderId="34" xfId="8" applyFont="1" applyBorder="1" applyAlignment="1" applyProtection="1">
      <alignment vertical="center"/>
    </xf>
    <xf numFmtId="0" fontId="34" fillId="15" borderId="2" xfId="8" applyFont="1" applyBorder="1" applyAlignment="1" applyProtection="1">
      <alignment vertical="center"/>
    </xf>
    <xf numFmtId="0" fontId="5" fillId="0" borderId="35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5" fillId="0" borderId="36" xfId="0" applyFont="1" applyBorder="1" applyAlignment="1" applyProtection="1">
      <alignment horizontal="center" vertical="center"/>
    </xf>
    <xf numFmtId="0" fontId="4" fillId="0" borderId="37" xfId="0" applyFont="1" applyBorder="1" applyAlignment="1" applyProtection="1">
      <alignment vertical="center"/>
    </xf>
    <xf numFmtId="0" fontId="5" fillId="0" borderId="72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vertical="center"/>
    </xf>
    <xf numFmtId="10" fontId="5" fillId="3" borderId="39" xfId="3" applyNumberFormat="1" applyFont="1" applyFill="1" applyBorder="1" applyAlignment="1" applyProtection="1">
      <alignment horizontal="center" vertical="center" wrapText="1"/>
    </xf>
    <xf numFmtId="0" fontId="5" fillId="0" borderId="30" xfId="0" applyFont="1" applyBorder="1" applyAlignment="1" applyProtection="1">
      <alignment vertical="center"/>
    </xf>
    <xf numFmtId="0" fontId="5" fillId="0" borderId="25" xfId="0" applyFont="1" applyBorder="1" applyAlignment="1" applyProtection="1">
      <alignment vertical="center"/>
    </xf>
    <xf numFmtId="10" fontId="5" fillId="0" borderId="65" xfId="3" applyNumberFormat="1" applyFont="1" applyBorder="1" applyAlignment="1" applyProtection="1">
      <alignment horizontal="center" vertical="center"/>
    </xf>
    <xf numFmtId="0" fontId="4" fillId="15" borderId="34" xfId="8" applyFont="1" applyBorder="1" applyAlignment="1" applyProtection="1">
      <alignment vertical="center"/>
    </xf>
    <xf numFmtId="0" fontId="35" fillId="15" borderId="2" xfId="8" applyFont="1" applyBorder="1" applyAlignment="1" applyProtection="1">
      <alignment vertical="center"/>
    </xf>
    <xf numFmtId="0" fontId="15" fillId="0" borderId="0" xfId="0" applyFont="1" applyAlignment="1" applyProtection="1">
      <alignment horizontal="center"/>
    </xf>
    <xf numFmtId="0" fontId="15" fillId="0" borderId="0" xfId="0" applyFont="1" applyAlignment="1" applyProtection="1"/>
    <xf numFmtId="0" fontId="0" fillId="0" borderId="0" xfId="0" applyAlignment="1" applyProtection="1"/>
    <xf numFmtId="0" fontId="34" fillId="0" borderId="0" xfId="0" applyFont="1" applyBorder="1" applyAlignment="1">
      <alignment horizontal="center"/>
    </xf>
    <xf numFmtId="44" fontId="41" fillId="0" borderId="0" xfId="2" applyFont="1" applyBorder="1"/>
    <xf numFmtId="170" fontId="26" fillId="11" borderId="12" xfId="0" applyNumberFormat="1" applyFont="1" applyFill="1" applyBorder="1" applyAlignment="1" applyProtection="1">
      <alignment horizontal="center"/>
      <protection locked="0"/>
    </xf>
    <xf numFmtId="0" fontId="5" fillId="0" borderId="16" xfId="0" applyFont="1" applyBorder="1" applyAlignment="1">
      <alignment horizontal="center"/>
    </xf>
    <xf numFmtId="0" fontId="15" fillId="0" borderId="75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 wrapText="1"/>
    </xf>
    <xf numFmtId="0" fontId="24" fillId="16" borderId="16" xfId="9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0" fillId="0" borderId="0" xfId="0"/>
    <xf numFmtId="0" fontId="9" fillId="0" borderId="41" xfId="0" applyFont="1" applyBorder="1" applyAlignment="1" applyProtection="1">
      <alignment horizontal="center" vertical="center" textRotation="90"/>
    </xf>
    <xf numFmtId="0" fontId="5" fillId="0" borderId="63" xfId="0" applyFont="1" applyBorder="1" applyAlignment="1" applyProtection="1">
      <alignment horizontal="center" vertical="center"/>
    </xf>
    <xf numFmtId="0" fontId="5" fillId="0" borderId="64" xfId="0" applyFont="1" applyBorder="1" applyAlignment="1" applyProtection="1">
      <alignment horizontal="center" vertical="center"/>
    </xf>
    <xf numFmtId="0" fontId="5" fillId="0" borderId="65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17" fillId="0" borderId="0" xfId="0" applyFont="1" applyAlignment="1" applyProtection="1">
      <alignment horizontal="center" vertical="center"/>
    </xf>
    <xf numFmtId="0" fontId="0" fillId="0" borderId="58" xfId="0" applyBorder="1" applyAlignment="1" applyProtection="1">
      <alignment horizontal="center"/>
    </xf>
    <xf numFmtId="0" fontId="4" fillId="6" borderId="12" xfId="0" applyFont="1" applyFill="1" applyBorder="1" applyAlignment="1" applyProtection="1">
      <alignment horizontal="center" vertical="center"/>
      <protection locked="0"/>
    </xf>
    <xf numFmtId="0" fontId="4" fillId="6" borderId="76" xfId="0" applyFont="1" applyFill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</xf>
    <xf numFmtId="0" fontId="4" fillId="0" borderId="76" xfId="0" applyFont="1" applyBorder="1" applyAlignment="1" applyProtection="1">
      <alignment horizontal="center" vertical="center"/>
    </xf>
    <xf numFmtId="0" fontId="37" fillId="0" borderId="0" xfId="0" applyFont="1" applyBorder="1" applyAlignment="1">
      <alignment horizontal="center" vertical="center"/>
    </xf>
    <xf numFmtId="0" fontId="0" fillId="0" borderId="25" xfId="0" applyBorder="1" applyAlignment="1" applyProtection="1">
      <alignment horizontal="center" vertical="center" wrapText="1"/>
    </xf>
    <xf numFmtId="0" fontId="0" fillId="0" borderId="26" xfId="0" applyBorder="1" applyAlignment="1" applyProtection="1">
      <alignment horizontal="center" vertical="center"/>
    </xf>
    <xf numFmtId="0" fontId="0" fillId="0" borderId="73" xfId="0" applyBorder="1" applyAlignment="1" applyProtection="1">
      <alignment horizontal="center" vertical="center"/>
    </xf>
    <xf numFmtId="0" fontId="4" fillId="15" borderId="60" xfId="8" applyFont="1" applyBorder="1" applyAlignment="1" applyProtection="1">
      <alignment horizontal="center"/>
    </xf>
    <xf numFmtId="0" fontId="4" fillId="15" borderId="61" xfId="8" applyFont="1" applyBorder="1" applyAlignment="1" applyProtection="1">
      <alignment horizontal="center"/>
    </xf>
    <xf numFmtId="0" fontId="4" fillId="15" borderId="62" xfId="8" applyFont="1" applyBorder="1" applyAlignment="1" applyProtection="1">
      <alignment horizontal="center"/>
    </xf>
    <xf numFmtId="0" fontId="4" fillId="3" borderId="25" xfId="0" applyFont="1" applyFill="1" applyBorder="1" applyAlignment="1" applyProtection="1">
      <alignment horizontal="center" vertical="center"/>
    </xf>
    <xf numFmtId="0" fontId="4" fillId="3" borderId="26" xfId="0" applyFont="1" applyFill="1" applyBorder="1" applyAlignment="1" applyProtection="1">
      <alignment horizontal="center" vertical="center"/>
    </xf>
    <xf numFmtId="0" fontId="15" fillId="0" borderId="53" xfId="0" applyFont="1" applyBorder="1" applyAlignment="1" applyProtection="1">
      <alignment horizontal="left" vertical="center"/>
    </xf>
    <xf numFmtId="0" fontId="15" fillId="0" borderId="69" xfId="0" applyFont="1" applyBorder="1" applyAlignment="1" applyProtection="1">
      <alignment horizontal="left" vertical="center"/>
    </xf>
    <xf numFmtId="0" fontId="15" fillId="0" borderId="67" xfId="0" applyFont="1" applyBorder="1" applyAlignment="1" applyProtection="1">
      <alignment horizontal="left" vertical="center"/>
    </xf>
    <xf numFmtId="0" fontId="15" fillId="0" borderId="68" xfId="0" applyFont="1" applyBorder="1" applyAlignment="1" applyProtection="1">
      <alignment horizontal="left" vertical="center"/>
    </xf>
    <xf numFmtId="0" fontId="15" fillId="6" borderId="16" xfId="0" applyFont="1" applyFill="1" applyBorder="1" applyAlignment="1" applyProtection="1">
      <alignment horizontal="left" vertical="center"/>
      <protection locked="0"/>
    </xf>
    <xf numFmtId="0" fontId="15" fillId="6" borderId="51" xfId="0" applyFont="1" applyFill="1" applyBorder="1" applyAlignment="1" applyProtection="1">
      <alignment horizontal="left" vertical="center"/>
      <protection locked="0"/>
    </xf>
    <xf numFmtId="3" fontId="15" fillId="6" borderId="16" xfId="0" applyNumberFormat="1" applyFont="1" applyFill="1" applyBorder="1" applyAlignment="1" applyProtection="1">
      <alignment horizontal="center" vertical="center"/>
      <protection locked="0"/>
    </xf>
    <xf numFmtId="0" fontId="15" fillId="6" borderId="16" xfId="0" applyFont="1" applyFill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45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2" borderId="12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3" fillId="0" borderId="58" xfId="0" applyFont="1" applyBorder="1" applyAlignment="1">
      <alignment horizontal="center" vertical="center" wrapText="1"/>
    </xf>
    <xf numFmtId="0" fontId="8" fillId="0" borderId="58" xfId="0" applyFont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3" borderId="13" xfId="0" applyFont="1" applyFill="1" applyBorder="1" applyAlignment="1">
      <alignment horizontal="center" wrapText="1"/>
    </xf>
    <xf numFmtId="0" fontId="4" fillId="3" borderId="44" xfId="0" applyFont="1" applyFill="1" applyBorder="1" applyAlignment="1">
      <alignment horizontal="center" wrapText="1"/>
    </xf>
    <xf numFmtId="0" fontId="4" fillId="3" borderId="45" xfId="0" applyFont="1" applyFill="1" applyBorder="1" applyAlignment="1">
      <alignment horizontal="center" wrapText="1"/>
    </xf>
    <xf numFmtId="9" fontId="5" fillId="3" borderId="7" xfId="3" applyFont="1" applyFill="1" applyBorder="1" applyAlignment="1" applyProtection="1">
      <alignment horizontal="center"/>
    </xf>
    <xf numFmtId="0" fontId="4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2" borderId="3" xfId="0" applyFont="1" applyFill="1" applyBorder="1" applyAlignment="1">
      <alignment horizontal="left"/>
    </xf>
    <xf numFmtId="0" fontId="43" fillId="0" borderId="41" xfId="0" applyFont="1" applyBorder="1" applyAlignment="1">
      <alignment horizontal="center" vertical="center" wrapText="1"/>
    </xf>
    <xf numFmtId="0" fontId="42" fillId="0" borderId="43" xfId="0" applyFont="1" applyBorder="1" applyAlignment="1">
      <alignment horizontal="center" vertical="center"/>
    </xf>
    <xf numFmtId="0" fontId="42" fillId="0" borderId="40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wrapText="1"/>
    </xf>
    <xf numFmtId="0" fontId="43" fillId="0" borderId="43" xfId="0" applyFont="1" applyBorder="1" applyAlignment="1">
      <alignment horizontal="center" vertical="center"/>
    </xf>
    <xf numFmtId="0" fontId="43" fillId="0" borderId="40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9" xfId="0" applyFont="1" applyFill="1" applyBorder="1" applyAlignment="1">
      <alignment horizontal="center" vertical="top" wrapText="1"/>
    </xf>
    <xf numFmtId="0" fontId="44" fillId="0" borderId="43" xfId="0" applyFont="1" applyBorder="1" applyAlignment="1">
      <alignment horizontal="center" vertical="center"/>
    </xf>
    <xf numFmtId="0" fontId="44" fillId="0" borderId="40" xfId="0" applyFont="1" applyBorder="1" applyAlignment="1">
      <alignment horizontal="center" vertical="center"/>
    </xf>
    <xf numFmtId="0" fontId="25" fillId="0" borderId="12" xfId="0" applyFont="1" applyBorder="1" applyAlignment="1">
      <alignment horizontal="left"/>
    </xf>
    <xf numFmtId="0" fontId="25" fillId="0" borderId="7" xfId="0" applyFont="1" applyBorder="1" applyAlignment="1">
      <alignment horizontal="left"/>
    </xf>
    <xf numFmtId="0" fontId="27" fillId="0" borderId="0" xfId="0" applyFont="1" applyAlignment="1">
      <alignment horizontal="center"/>
    </xf>
    <xf numFmtId="0" fontId="23" fillId="0" borderId="3" xfId="0" applyFont="1" applyBorder="1" applyAlignment="1">
      <alignment horizontal="left"/>
    </xf>
    <xf numFmtId="0" fontId="24" fillId="16" borderId="74" xfId="9" applyFont="1" applyAlignment="1">
      <alignment horizontal="center"/>
    </xf>
    <xf numFmtId="0" fontId="24" fillId="16" borderId="77" xfId="9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9" borderId="3" xfId="0" applyFont="1" applyFill="1" applyBorder="1" applyAlignment="1">
      <alignment horizontal="center"/>
    </xf>
    <xf numFmtId="0" fontId="23" fillId="9" borderId="4" xfId="0" applyFont="1" applyFill="1" applyBorder="1" applyAlignment="1">
      <alignment horizontal="center"/>
    </xf>
    <xf numFmtId="0" fontId="23" fillId="0" borderId="0" xfId="0" applyFont="1" applyAlignment="1">
      <alignment horizontal="left"/>
    </xf>
    <xf numFmtId="0" fontId="23" fillId="8" borderId="3" xfId="0" applyFont="1" applyFill="1" applyBorder="1" applyAlignment="1">
      <alignment horizontal="center" vertical="center"/>
    </xf>
    <xf numFmtId="0" fontId="25" fillId="3" borderId="3" xfId="0" applyFont="1" applyFill="1" applyBorder="1" applyAlignment="1">
      <alignment horizontal="center" vertical="center" wrapText="1"/>
    </xf>
    <xf numFmtId="0" fontId="4" fillId="10" borderId="12" xfId="4" applyNumberFormat="1" applyFont="1" applyFill="1" applyBorder="1" applyAlignment="1" applyProtection="1">
      <alignment horizontal="center"/>
    </xf>
    <xf numFmtId="0" fontId="4" fillId="10" borderId="6" xfId="4" applyNumberFormat="1" applyFont="1" applyFill="1" applyBorder="1" applyAlignment="1" applyProtection="1">
      <alignment horizontal="center"/>
    </xf>
    <xf numFmtId="0" fontId="4" fillId="10" borderId="7" xfId="4" applyNumberFormat="1" applyFont="1" applyFill="1" applyBorder="1" applyAlignment="1" applyProtection="1">
      <alignment horizontal="center"/>
    </xf>
    <xf numFmtId="0" fontId="23" fillId="0" borderId="6" xfId="0" applyFont="1" applyBorder="1" applyAlignment="1">
      <alignment horizontal="left"/>
    </xf>
    <xf numFmtId="0" fontId="23" fillId="8" borderId="12" xfId="0" applyFont="1" applyFill="1" applyBorder="1" applyAlignment="1">
      <alignment horizontal="center" vertical="center"/>
    </xf>
    <xf numFmtId="0" fontId="23" fillId="8" borderId="6" xfId="0" applyFont="1" applyFill="1" applyBorder="1" applyAlignment="1">
      <alignment horizontal="center" vertical="center"/>
    </xf>
    <xf numFmtId="0" fontId="23" fillId="8" borderId="7" xfId="0" applyFont="1" applyFill="1" applyBorder="1" applyAlignment="1">
      <alignment horizontal="center" vertical="center"/>
    </xf>
    <xf numFmtId="0" fontId="25" fillId="3" borderId="12" xfId="0" applyFont="1" applyFill="1" applyBorder="1" applyAlignment="1">
      <alignment horizontal="center" vertical="center" wrapText="1"/>
    </xf>
    <xf numFmtId="0" fontId="25" fillId="3" borderId="6" xfId="0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horizontal="center" vertical="center" wrapText="1"/>
    </xf>
    <xf numFmtId="0" fontId="4" fillId="17" borderId="3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30" fillId="16" borderId="74" xfId="9" applyFont="1" applyAlignment="1">
      <alignment horizontal="center"/>
    </xf>
    <xf numFmtId="0" fontId="30" fillId="16" borderId="74" xfId="9" applyNumberFormat="1" applyFont="1" applyAlignment="1" applyProtection="1">
      <alignment horizontal="center"/>
    </xf>
    <xf numFmtId="0" fontId="4" fillId="12" borderId="16" xfId="5" applyFont="1" applyFill="1" applyBorder="1" applyAlignment="1">
      <alignment horizontal="center" vertical="center" wrapText="1"/>
    </xf>
    <xf numFmtId="44" fontId="5" fillId="13" borderId="41" xfId="2" applyFont="1" applyFill="1" applyBorder="1" applyAlignment="1" applyProtection="1">
      <alignment horizontal="center" vertical="center"/>
    </xf>
    <xf numFmtId="44" fontId="5" fillId="13" borderId="40" xfId="2" applyFont="1" applyFill="1" applyBorder="1" applyAlignment="1" applyProtection="1">
      <alignment horizontal="center" vertical="center"/>
    </xf>
    <xf numFmtId="0" fontId="4" fillId="4" borderId="16" xfId="5" applyFont="1" applyFill="1" applyBorder="1" applyAlignment="1">
      <alignment horizontal="center"/>
    </xf>
    <xf numFmtId="0" fontId="4" fillId="4" borderId="41" xfId="5" applyFont="1" applyFill="1" applyBorder="1" applyAlignment="1">
      <alignment horizontal="center"/>
    </xf>
    <xf numFmtId="0" fontId="4" fillId="4" borderId="43" xfId="5" applyFont="1" applyFill="1" applyBorder="1" applyAlignment="1">
      <alignment horizontal="center"/>
    </xf>
    <xf numFmtId="0" fontId="4" fillId="4" borderId="40" xfId="5" applyFont="1" applyFill="1" applyBorder="1" applyAlignment="1">
      <alignment horizontal="center"/>
    </xf>
    <xf numFmtId="44" fontId="5" fillId="4" borderId="41" xfId="2" applyFont="1" applyFill="1" applyBorder="1" applyAlignment="1" applyProtection="1">
      <alignment horizontal="center" vertical="center"/>
    </xf>
    <xf numFmtId="44" fontId="5" fillId="4" borderId="40" xfId="2" applyFont="1" applyFill="1" applyBorder="1" applyAlignment="1" applyProtection="1">
      <alignment horizontal="center" vertical="center"/>
    </xf>
    <xf numFmtId="0" fontId="4" fillId="4" borderId="0" xfId="5" applyFont="1" applyFill="1" applyBorder="1" applyAlignment="1">
      <alignment horizontal="center"/>
    </xf>
    <xf numFmtId="0" fontId="31" fillId="12" borderId="16" xfId="5" applyFont="1" applyFill="1" applyBorder="1" applyAlignment="1">
      <alignment horizontal="center" vertical="center" wrapText="1"/>
    </xf>
    <xf numFmtId="10" fontId="5" fillId="18" borderId="63" xfId="3" applyNumberFormat="1" applyFont="1" applyFill="1" applyBorder="1" applyAlignment="1" applyProtection="1">
      <alignment horizontal="center" vertical="center" wrapText="1"/>
      <protection locked="0"/>
    </xf>
    <xf numFmtId="10" fontId="5" fillId="6" borderId="30" xfId="3" applyNumberFormat="1" applyFont="1" applyFill="1" applyBorder="1" applyAlignment="1" applyProtection="1">
      <alignment horizontal="center" vertical="center"/>
      <protection locked="0"/>
    </xf>
    <xf numFmtId="0" fontId="45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vertical="center"/>
    </xf>
    <xf numFmtId="10" fontId="45" fillId="0" borderId="0" xfId="3" applyNumberFormat="1" applyFont="1" applyBorder="1" applyAlignment="1">
      <alignment horizontal="center"/>
    </xf>
    <xf numFmtId="9" fontId="36" fillId="0" borderId="0" xfId="3" applyFont="1" applyBorder="1" applyAlignment="1">
      <alignment horizontal="center"/>
    </xf>
    <xf numFmtId="10" fontId="36" fillId="0" borderId="0" xfId="3" applyNumberFormat="1" applyFont="1" applyBorder="1" applyAlignment="1">
      <alignment horizontal="center"/>
    </xf>
    <xf numFmtId="0" fontId="15" fillId="0" borderId="0" xfId="0" applyFont="1" applyBorder="1" applyAlignment="1" applyProtection="1">
      <alignment horizontal="left"/>
    </xf>
    <xf numFmtId="0" fontId="15" fillId="0" borderId="58" xfId="0" applyFont="1" applyBorder="1" applyAlignment="1" applyProtection="1">
      <alignment horizontal="left"/>
    </xf>
    <xf numFmtId="0" fontId="15" fillId="0" borderId="78" xfId="0" applyFont="1" applyBorder="1" applyAlignment="1" applyProtection="1">
      <alignment horizontal="left" wrapText="1"/>
    </xf>
    <xf numFmtId="0" fontId="15" fillId="0" borderId="79" xfId="0" applyFont="1" applyBorder="1" applyAlignment="1" applyProtection="1">
      <alignment horizontal="left"/>
    </xf>
    <xf numFmtId="0" fontId="15" fillId="0" borderId="80" xfId="0" applyFont="1" applyBorder="1" applyAlignment="1" applyProtection="1">
      <alignment horizontal="left"/>
    </xf>
    <xf numFmtId="0" fontId="15" fillId="0" borderId="75" xfId="0" applyFont="1" applyBorder="1" applyAlignment="1" applyProtection="1">
      <alignment horizontal="left"/>
    </xf>
    <xf numFmtId="0" fontId="15" fillId="0" borderId="81" xfId="0" applyFont="1" applyBorder="1" applyAlignment="1" applyProtection="1">
      <alignment horizontal="left"/>
    </xf>
    <xf numFmtId="0" fontId="15" fillId="0" borderId="82" xfId="0" applyFont="1" applyBorder="1" applyAlignment="1" applyProtection="1">
      <alignment horizontal="left"/>
    </xf>
    <xf numFmtId="0" fontId="15" fillId="0" borderId="83" xfId="0" applyFont="1" applyBorder="1" applyAlignment="1" applyProtection="1">
      <alignment horizontal="left"/>
    </xf>
  </cellXfs>
  <cellStyles count="10">
    <cellStyle name="Ênfase3" xfId="8" builtinId="37"/>
    <cellStyle name="Excel_BuiltIn_Texto Explicativo 1" xfId="4"/>
    <cellStyle name="Moeda" xfId="2" builtinId="4"/>
    <cellStyle name="Moeda 2" xfId="7"/>
    <cellStyle name="Normal" xfId="0" builtinId="0"/>
    <cellStyle name="Normal 2" xfId="5"/>
    <cellStyle name="Normal 3" xfId="6"/>
    <cellStyle name="Porcentagem" xfId="3" builtinId="5"/>
    <cellStyle name="Saída" xfId="9" builtinId="21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jpeg"/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44980</xdr:colOff>
      <xdr:row>0</xdr:row>
      <xdr:rowOff>1081360</xdr:rowOff>
    </xdr:from>
    <xdr:to>
      <xdr:col>8</xdr:col>
      <xdr:colOff>3116794</xdr:colOff>
      <xdr:row>0</xdr:row>
      <xdr:rowOff>1217946</xdr:rowOff>
    </xdr:to>
    <xdr:pic>
      <xdr:nvPicPr>
        <xdr:cNvPr id="4" name="Imagem 3">
          <a:extLst>
            <a:ext uri="{FF2B5EF4-FFF2-40B4-BE49-F238E27FC236}">
              <a16:creationId xmlns="" xmlns:a16="http://schemas.microsoft.com/office/drawing/2014/main" id="{7694E5D3-EAA9-141F-1ABC-86F6FD1163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355" y="1081360"/>
          <a:ext cx="17073564" cy="1365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270904</xdr:colOff>
      <xdr:row>0</xdr:row>
      <xdr:rowOff>146920</xdr:rowOff>
    </xdr:from>
    <xdr:to>
      <xdr:col>8</xdr:col>
      <xdr:colOff>1994960</xdr:colOff>
      <xdr:row>0</xdr:row>
      <xdr:rowOff>997009</xdr:rowOff>
    </xdr:to>
    <xdr:pic>
      <xdr:nvPicPr>
        <xdr:cNvPr id="5" name="Imagem 4">
          <a:extLst>
            <a:ext uri="{FF2B5EF4-FFF2-40B4-BE49-F238E27FC236}">
              <a16:creationId xmlns="" xmlns:a16="http://schemas.microsoft.com/office/drawing/2014/main" id="{DA0EEB1E-0C17-F04D-3DF9-AE1C9251EF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06029" y="146920"/>
          <a:ext cx="1724056" cy="8500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2937464</xdr:colOff>
      <xdr:row>0</xdr:row>
      <xdr:rowOff>41413</xdr:rowOff>
    </xdr:from>
    <xdr:to>
      <xdr:col>2</xdr:col>
      <xdr:colOff>4328583</xdr:colOff>
      <xdr:row>0</xdr:row>
      <xdr:rowOff>911087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1EA2E6A5-2940-4EA8-AF90-A0D1181605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1464" y="41413"/>
          <a:ext cx="1391119" cy="869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1029304</xdr:rowOff>
    </xdr:from>
    <xdr:to>
      <xdr:col>2</xdr:col>
      <xdr:colOff>4819244</xdr:colOff>
      <xdr:row>0</xdr:row>
      <xdr:rowOff>1096895</xdr:rowOff>
    </xdr:to>
    <xdr:pic>
      <xdr:nvPicPr>
        <xdr:cNvPr id="5" name="Imagem 4">
          <a:extLst>
            <a:ext uri="{FF2B5EF4-FFF2-40B4-BE49-F238E27FC236}">
              <a16:creationId xmlns="" xmlns:a16="http://schemas.microsoft.com/office/drawing/2014/main" id="{EB26A3DA-A5AB-4510-862D-F5F7933018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29304"/>
          <a:ext cx="11421893" cy="675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1766622</xdr:colOff>
      <xdr:row>0</xdr:row>
      <xdr:rowOff>55006</xdr:rowOff>
    </xdr:from>
    <xdr:to>
      <xdr:col>2</xdr:col>
      <xdr:colOff>3568329</xdr:colOff>
      <xdr:row>0</xdr:row>
      <xdr:rowOff>924680</xdr:rowOff>
    </xdr:to>
    <xdr:pic>
      <xdr:nvPicPr>
        <xdr:cNvPr id="4" name="Imagem 3">
          <a:extLst>
            <a:ext uri="{FF2B5EF4-FFF2-40B4-BE49-F238E27FC236}">
              <a16:creationId xmlns="" xmlns:a16="http://schemas.microsoft.com/office/drawing/2014/main" id="{C7834E57-8EDE-45BA-B421-1D0AC38DAF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7447" y="55006"/>
          <a:ext cx="1801707" cy="869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1004798</xdr:rowOff>
    </xdr:from>
    <xdr:to>
      <xdr:col>2</xdr:col>
      <xdr:colOff>3619500</xdr:colOff>
      <xdr:row>0</xdr:row>
      <xdr:rowOff>1065284</xdr:rowOff>
    </xdr:to>
    <xdr:pic>
      <xdr:nvPicPr>
        <xdr:cNvPr id="6" name="Imagem 5">
          <a:extLst>
            <a:ext uri="{FF2B5EF4-FFF2-40B4-BE49-F238E27FC236}">
              <a16:creationId xmlns="" xmlns:a16="http://schemas.microsoft.com/office/drawing/2014/main" id="{653CCDDB-DE61-43EB-800A-9A1887F8CB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4798"/>
          <a:ext cx="10220325" cy="604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717681</xdr:colOff>
      <xdr:row>0</xdr:row>
      <xdr:rowOff>83581</xdr:rowOff>
    </xdr:from>
    <xdr:to>
      <xdr:col>2</xdr:col>
      <xdr:colOff>2519388</xdr:colOff>
      <xdr:row>0</xdr:row>
      <xdr:rowOff>953255</xdr:rowOff>
    </xdr:to>
    <xdr:pic>
      <xdr:nvPicPr>
        <xdr:cNvPr id="4" name="Imagem 3">
          <a:extLst>
            <a:ext uri="{FF2B5EF4-FFF2-40B4-BE49-F238E27FC236}">
              <a16:creationId xmlns="" xmlns:a16="http://schemas.microsoft.com/office/drawing/2014/main" id="{3D540DD8-921B-48AF-A286-E0195C7E7B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0431" y="83581"/>
          <a:ext cx="1801707" cy="869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1008523</xdr:rowOff>
    </xdr:from>
    <xdr:to>
      <xdr:col>2</xdr:col>
      <xdr:colOff>2733675</xdr:colOff>
      <xdr:row>0</xdr:row>
      <xdr:rowOff>1095375</xdr:rowOff>
    </xdr:to>
    <xdr:pic>
      <xdr:nvPicPr>
        <xdr:cNvPr id="8" name="Imagem 7">
          <a:extLst>
            <a:ext uri="{FF2B5EF4-FFF2-40B4-BE49-F238E27FC236}">
              <a16:creationId xmlns="" xmlns:a16="http://schemas.microsoft.com/office/drawing/2014/main" id="{80D3A045-571C-4BDB-BB4C-0F8D031B0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8523"/>
          <a:ext cx="9496425" cy="86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1137972</xdr:colOff>
      <xdr:row>0</xdr:row>
      <xdr:rowOff>123825</xdr:rowOff>
    </xdr:from>
    <xdr:to>
      <xdr:col>2</xdr:col>
      <xdr:colOff>2738915</xdr:colOff>
      <xdr:row>0</xdr:row>
      <xdr:rowOff>868919</xdr:rowOff>
    </xdr:to>
    <xdr:pic>
      <xdr:nvPicPr>
        <xdr:cNvPr id="5" name="Imagem 4">
          <a:extLst>
            <a:ext uri="{FF2B5EF4-FFF2-40B4-BE49-F238E27FC236}">
              <a16:creationId xmlns="" xmlns:a16="http://schemas.microsoft.com/office/drawing/2014/main" id="{C6F395C3-951B-47E2-AF98-2CA206BCE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8797" y="123825"/>
          <a:ext cx="1600943" cy="7450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1004798</xdr:rowOff>
    </xdr:from>
    <xdr:to>
      <xdr:col>2</xdr:col>
      <xdr:colOff>2847975</xdr:colOff>
      <xdr:row>0</xdr:row>
      <xdr:rowOff>1104900</xdr:rowOff>
    </xdr:to>
    <xdr:pic>
      <xdr:nvPicPr>
        <xdr:cNvPr id="7" name="Imagem 6">
          <a:extLst>
            <a:ext uri="{FF2B5EF4-FFF2-40B4-BE49-F238E27FC236}">
              <a16:creationId xmlns="" xmlns:a16="http://schemas.microsoft.com/office/drawing/2014/main" id="{6A883C68-73C8-4D53-81BC-24ED11021E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4798"/>
          <a:ext cx="9448800" cy="1001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1080822</xdr:colOff>
      <xdr:row>0</xdr:row>
      <xdr:rowOff>123825</xdr:rowOff>
    </xdr:from>
    <xdr:to>
      <xdr:col>2</xdr:col>
      <xdr:colOff>2681765</xdr:colOff>
      <xdr:row>0</xdr:row>
      <xdr:rowOff>868919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EC23AED9-9CF9-4A1C-9F79-1B109C8CAF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81647" y="123825"/>
          <a:ext cx="1600943" cy="7450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985748</xdr:rowOff>
    </xdr:from>
    <xdr:to>
      <xdr:col>2</xdr:col>
      <xdr:colOff>2725615</xdr:colOff>
      <xdr:row>0</xdr:row>
      <xdr:rowOff>1084584</xdr:rowOff>
    </xdr:to>
    <xdr:pic>
      <xdr:nvPicPr>
        <xdr:cNvPr id="5" name="Imagem 4">
          <a:extLst>
            <a:ext uri="{FF2B5EF4-FFF2-40B4-BE49-F238E27FC236}">
              <a16:creationId xmlns="" xmlns:a16="http://schemas.microsoft.com/office/drawing/2014/main" id="{6A929969-C7F7-47C8-A0CE-F394A8A9E9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5748"/>
          <a:ext cx="9327173" cy="988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1137972</xdr:colOff>
      <xdr:row>0</xdr:row>
      <xdr:rowOff>104774</xdr:rowOff>
    </xdr:from>
    <xdr:to>
      <xdr:col>2</xdr:col>
      <xdr:colOff>2787331</xdr:colOff>
      <xdr:row>0</xdr:row>
      <xdr:rowOff>872401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B6FCFF3B-887B-4C22-BEC0-1595E92C1F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8797" y="104774"/>
          <a:ext cx="1649359" cy="7676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985747</xdr:rowOff>
    </xdr:from>
    <xdr:to>
      <xdr:col>3</xdr:col>
      <xdr:colOff>0</xdr:colOff>
      <xdr:row>0</xdr:row>
      <xdr:rowOff>1088876</xdr:rowOff>
    </xdr:to>
    <xdr:pic>
      <xdr:nvPicPr>
        <xdr:cNvPr id="5" name="Imagem 4">
          <a:extLst>
            <a:ext uri="{FF2B5EF4-FFF2-40B4-BE49-F238E27FC236}">
              <a16:creationId xmlns="" xmlns:a16="http://schemas.microsoft.com/office/drawing/2014/main" id="{58D4B7BA-7C3F-473C-BF84-C9D762A9DE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5747"/>
          <a:ext cx="9734550" cy="103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Planilha_Custos_Licitantes_Aratiba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Final"/>
      <sheetName val="Equipamento de Man. Predial"/>
      <sheetName val="Equipamento Roçada"/>
      <sheetName val="Memoria de Cálculo"/>
      <sheetName val="Material Limpeza"/>
      <sheetName val="Recepcionista 36h"/>
      <sheetName val="Planilha1"/>
      <sheetName val="Planilha2"/>
      <sheetName val="Planilha3"/>
      <sheetName val="Planilha4"/>
      <sheetName val="Auxiliar de Limpeza 40h"/>
      <sheetName val="Aux. de Limpeza 20h"/>
      <sheetName val="Aux. Manutenção Predial 40h"/>
      <sheetName val="Aux. de Manutenção Predial 20h"/>
      <sheetName val="Merendeiro 40h"/>
      <sheetName val="Merendeiro 20h"/>
      <sheetName val="Servente de Limpeza 40h"/>
      <sheetName val="Zelador 40h"/>
      <sheetName val="Fundamentos Legais - Mem. Cál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5">
          <cell r="C15" t="str">
            <v>Recepcionista/Telefonista 44h - 4221-05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5">
          <cell r="C15" t="str">
            <v>Auxiliar de Limpeza 44h - 5143</v>
          </cell>
        </row>
      </sheetData>
      <sheetData sheetId="12" refreshError="1"/>
      <sheetData sheetId="13" refreshError="1">
        <row r="15">
          <cell r="C15" t="str">
            <v>Auxiliar de Manutenção Predial 44h - 5143</v>
          </cell>
        </row>
      </sheetData>
      <sheetData sheetId="14" refreshError="1">
        <row r="15">
          <cell r="C15" t="str">
            <v>Merendeiro de Escola 44h - 5132</v>
          </cell>
        </row>
      </sheetData>
      <sheetData sheetId="15" refreshError="1"/>
      <sheetData sheetId="16" refreshError="1">
        <row r="15">
          <cell r="C15" t="str">
            <v>Servente de Limpeza 44h - 5143</v>
          </cell>
        </row>
      </sheetData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pageSetUpPr fitToPage="1"/>
  </sheetPr>
  <dimension ref="A1:Q40"/>
  <sheetViews>
    <sheetView view="pageBreakPreview" zoomScaleNormal="100" zoomScaleSheetLayoutView="100" workbookViewId="0">
      <selection activeCell="I13" sqref="I13"/>
    </sheetView>
  </sheetViews>
  <sheetFormatPr defaultRowHeight="15"/>
  <cols>
    <col min="2" max="2" width="10.140625" customWidth="1"/>
    <col min="3" max="3" width="4.140625" customWidth="1"/>
    <col min="9" max="9" width="69.7109375" customWidth="1"/>
  </cols>
  <sheetData>
    <row r="1" spans="1:17">
      <c r="A1" s="297" t="s">
        <v>278</v>
      </c>
      <c r="B1" s="297"/>
      <c r="C1" s="297"/>
      <c r="D1" s="297"/>
      <c r="E1" s="297"/>
      <c r="F1" s="297"/>
      <c r="G1" s="297"/>
      <c r="H1" s="297"/>
      <c r="I1" s="297"/>
      <c r="J1" s="155"/>
      <c r="K1" s="155"/>
      <c r="L1" s="155"/>
      <c r="M1" s="155"/>
      <c r="N1" s="155"/>
      <c r="O1" s="155"/>
      <c r="P1" s="155"/>
      <c r="Q1" s="155"/>
    </row>
    <row r="2" spans="1:17">
      <c r="A2" s="297"/>
      <c r="B2" s="297"/>
      <c r="C2" s="297"/>
      <c r="D2" s="297"/>
      <c r="E2" s="297"/>
      <c r="F2" s="297"/>
      <c r="G2" s="297"/>
      <c r="H2" s="297"/>
      <c r="I2" s="297"/>
      <c r="J2" s="155"/>
      <c r="K2" s="155"/>
      <c r="L2" s="155"/>
      <c r="M2" s="155"/>
      <c r="N2" s="155"/>
      <c r="O2" s="155"/>
      <c r="P2" s="155"/>
      <c r="Q2" s="155"/>
    </row>
    <row r="3" spans="1:17">
      <c r="A3" s="155" t="s">
        <v>275</v>
      </c>
      <c r="B3" s="213"/>
      <c r="C3" s="293" t="s">
        <v>274</v>
      </c>
      <c r="D3" s="294"/>
      <c r="E3" s="294"/>
      <c r="F3" s="294"/>
      <c r="G3" s="294"/>
      <c r="H3" s="294"/>
      <c r="I3" s="294"/>
      <c r="J3" s="155"/>
      <c r="K3" s="155"/>
      <c r="L3" s="155"/>
      <c r="M3" s="155"/>
      <c r="N3" s="155"/>
      <c r="O3" s="155"/>
      <c r="P3" s="155"/>
      <c r="Q3" s="155"/>
    </row>
    <row r="4" spans="1:17">
      <c r="A4" s="155" t="s">
        <v>276</v>
      </c>
      <c r="B4" s="209"/>
      <c r="C4" s="295" t="s">
        <v>279</v>
      </c>
      <c r="D4" s="294"/>
      <c r="E4" s="294"/>
      <c r="F4" s="294"/>
      <c r="G4" s="294"/>
      <c r="H4" s="294"/>
      <c r="I4" s="294"/>
      <c r="J4" s="155"/>
      <c r="K4" s="155"/>
      <c r="L4" s="155"/>
      <c r="M4" s="155"/>
      <c r="N4" s="155"/>
      <c r="O4" s="155"/>
      <c r="P4" s="155"/>
      <c r="Q4" s="155"/>
    </row>
    <row r="5" spans="1:17" ht="146.25" customHeight="1">
      <c r="A5" s="155" t="s">
        <v>277</v>
      </c>
      <c r="B5" s="155"/>
      <c r="C5" s="296" t="s">
        <v>288</v>
      </c>
      <c r="D5" s="294"/>
      <c r="E5" s="294"/>
      <c r="F5" s="294"/>
      <c r="G5" s="294"/>
      <c r="H5" s="294"/>
      <c r="I5" s="294"/>
      <c r="J5" s="155"/>
      <c r="K5" s="155"/>
      <c r="L5" s="155"/>
      <c r="M5" s="155"/>
      <c r="N5" s="155"/>
      <c r="O5" s="155"/>
      <c r="P5" s="155"/>
      <c r="Q5" s="155"/>
    </row>
    <row r="6" spans="1:17">
      <c r="A6" s="155" t="s">
        <v>289</v>
      </c>
      <c r="B6" s="155"/>
      <c r="C6" s="299" t="s">
        <v>290</v>
      </c>
      <c r="D6" s="299"/>
      <c r="E6" s="299"/>
      <c r="F6" s="299"/>
      <c r="G6" s="299"/>
      <c r="H6" s="299"/>
      <c r="I6" s="299"/>
      <c r="J6" s="155"/>
      <c r="K6" s="155"/>
      <c r="L6" s="155"/>
      <c r="M6" s="155"/>
      <c r="N6" s="155"/>
      <c r="O6" s="155"/>
      <c r="P6" s="155"/>
      <c r="Q6" s="155"/>
    </row>
    <row r="7" spans="1:17">
      <c r="A7" s="155"/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</row>
    <row r="8" spans="1:17">
      <c r="A8" s="155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</row>
    <row r="9" spans="1:17">
      <c r="A9" s="298"/>
      <c r="B9" s="298"/>
      <c r="C9" s="298"/>
      <c r="D9" s="298"/>
      <c r="E9" s="298"/>
      <c r="F9" s="298"/>
      <c r="G9" s="298"/>
      <c r="H9" s="298"/>
      <c r="I9" s="298"/>
      <c r="J9" s="155"/>
      <c r="K9" s="155"/>
      <c r="L9" s="155"/>
      <c r="M9" s="155"/>
      <c r="N9" s="155"/>
      <c r="O9" s="155"/>
      <c r="P9" s="155"/>
      <c r="Q9" s="155"/>
    </row>
    <row r="10" spans="1:17">
      <c r="A10" s="155"/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</row>
    <row r="11" spans="1:17">
      <c r="A11" s="155"/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</row>
    <row r="12" spans="1:17">
      <c r="A12" s="155"/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</row>
    <row r="13" spans="1:17">
      <c r="A13" s="155"/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</row>
    <row r="14" spans="1:17">
      <c r="A14" s="155"/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</row>
    <row r="15" spans="1:17">
      <c r="A15" s="155"/>
      <c r="B15" s="155"/>
      <c r="C15" s="155"/>
      <c r="D15" s="155"/>
      <c r="E15" s="155"/>
      <c r="F15" s="155"/>
      <c r="G15" s="155"/>
      <c r="H15" s="155"/>
      <c r="I15" s="155"/>
      <c r="J15" s="214"/>
      <c r="K15" s="155"/>
      <c r="L15" s="155"/>
      <c r="M15" s="155"/>
      <c r="N15" s="155"/>
      <c r="O15" s="155"/>
      <c r="P15" s="155"/>
      <c r="Q15" s="155"/>
    </row>
    <row r="16" spans="1:17">
      <c r="A16" s="155"/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</row>
    <row r="17" spans="1:17">
      <c r="A17" s="155"/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</row>
    <row r="18" spans="1:17">
      <c r="A18" s="155"/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</row>
    <row r="19" spans="1:17">
      <c r="A19" s="155"/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</row>
    <row r="20" spans="1:17">
      <c r="A20" s="155"/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</row>
    <row r="21" spans="1:17">
      <c r="A21" s="155"/>
      <c r="B21" s="155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</row>
    <row r="22" spans="1:17">
      <c r="A22" s="155"/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</row>
    <row r="23" spans="1:17">
      <c r="A23" s="155"/>
      <c r="B23" s="155"/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</row>
    <row r="24" spans="1:17">
      <c r="A24" s="155"/>
      <c r="B24" s="155"/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5"/>
      <c r="O24" s="155"/>
      <c r="P24" s="155"/>
      <c r="Q24" s="155"/>
    </row>
    <row r="25" spans="1:17">
      <c r="A25" s="155"/>
      <c r="B25" s="155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</row>
    <row r="26" spans="1:17">
      <c r="A26" s="155"/>
      <c r="B26" s="155"/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</row>
    <row r="27" spans="1:17">
      <c r="A27" s="155"/>
      <c r="B27" s="155"/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</row>
    <row r="28" spans="1:17">
      <c r="A28" s="155"/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</row>
    <row r="29" spans="1:17">
      <c r="A29" s="155"/>
      <c r="B29" s="155"/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</row>
    <row r="30" spans="1:17">
      <c r="A30" s="155"/>
      <c r="B30" s="155"/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</row>
    <row r="31" spans="1:17">
      <c r="A31" s="155"/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</row>
    <row r="32" spans="1:17">
      <c r="A32" s="155"/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</row>
    <row r="33" spans="1:17">
      <c r="A33" s="155"/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</row>
    <row r="34" spans="1:17">
      <c r="A34" s="155"/>
      <c r="B34" s="155"/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</row>
    <row r="35" spans="1:17">
      <c r="A35" s="155"/>
      <c r="B35" s="155"/>
      <c r="C35" s="155"/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5"/>
      <c r="O35" s="155"/>
      <c r="P35" s="155"/>
      <c r="Q35" s="155"/>
    </row>
    <row r="36" spans="1:17">
      <c r="A36" s="155"/>
      <c r="B36" s="155"/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55"/>
      <c r="N36" s="155"/>
      <c r="O36" s="155"/>
      <c r="P36" s="155"/>
      <c r="Q36" s="155"/>
    </row>
    <row r="37" spans="1:17">
      <c r="A37" s="155"/>
      <c r="B37" s="155"/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N37" s="155"/>
      <c r="O37" s="155"/>
      <c r="P37" s="155"/>
      <c r="Q37" s="155"/>
    </row>
    <row r="38" spans="1:17">
      <c r="A38" s="155"/>
      <c r="B38" s="155"/>
      <c r="C38" s="155"/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  <c r="Q38" s="155"/>
    </row>
    <row r="39" spans="1:17">
      <c r="A39" s="155"/>
      <c r="B39" s="155"/>
      <c r="C39" s="155"/>
      <c r="D39" s="155"/>
      <c r="E39" s="155"/>
      <c r="F39" s="155"/>
      <c r="G39" s="155"/>
      <c r="H39" s="155"/>
      <c r="I39" s="155"/>
      <c r="J39" s="155"/>
      <c r="K39" s="155"/>
      <c r="L39" s="155"/>
      <c r="M39" s="155"/>
      <c r="N39" s="155"/>
      <c r="O39" s="155"/>
      <c r="P39" s="155"/>
      <c r="Q39" s="155"/>
    </row>
    <row r="40" spans="1:17">
      <c r="A40" s="155"/>
      <c r="B40" s="155"/>
      <c r="C40" s="155"/>
      <c r="D40" s="155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55"/>
      <c r="P40" s="155"/>
      <c r="Q40" s="155"/>
    </row>
  </sheetData>
  <sheetProtection algorithmName="SHA-512" hashValue="F8bHSd/zqLwF04Tg23EprJjHyz8O4JBS4jLHn3ypXw7ygoKc7mRp+Y5x1Uz1DaePQL8Yto2Krz8FX3VJkbJg7w==" saltValue="VdpYu7FY8fBm47jBwj2wOQ==" spinCount="100000" sheet="1" objects="1" scenarios="1"/>
  <mergeCells count="6">
    <mergeCell ref="C3:I3"/>
    <mergeCell ref="C4:I4"/>
    <mergeCell ref="C5:I5"/>
    <mergeCell ref="A1:I2"/>
    <mergeCell ref="A9:I9"/>
    <mergeCell ref="C6:I6"/>
  </mergeCells>
  <pageMargins left="0.51181102362204722" right="0.51181102362204722" top="0.78740157480314965" bottom="0.78740157480314965" header="0.31496062992125984" footer="0.31496062992125984"/>
  <pageSetup paperSize="9" scale="9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>
    <pageSetUpPr fitToPage="1"/>
  </sheetPr>
  <dimension ref="A1:H90"/>
  <sheetViews>
    <sheetView workbookViewId="0">
      <selection activeCell="E18" sqref="E18"/>
    </sheetView>
  </sheetViews>
  <sheetFormatPr defaultRowHeight="15"/>
  <cols>
    <col min="1" max="1" width="48.140625" bestFit="1" customWidth="1"/>
    <col min="2" max="2" width="16.7109375" bestFit="1" customWidth="1"/>
    <col min="3" max="3" width="14.5703125" bestFit="1" customWidth="1"/>
    <col min="4" max="5" width="19.5703125" bestFit="1" customWidth="1"/>
    <col min="6" max="6" width="27" bestFit="1" customWidth="1"/>
    <col min="7" max="7" width="33.7109375" bestFit="1" customWidth="1"/>
  </cols>
  <sheetData>
    <row r="1" spans="1:8">
      <c r="A1" s="383" t="s">
        <v>186</v>
      </c>
      <c r="B1" s="383"/>
      <c r="C1" s="383"/>
      <c r="D1" s="383"/>
      <c r="E1" s="383"/>
      <c r="F1" s="155"/>
      <c r="G1" s="155"/>
      <c r="H1" s="155"/>
    </row>
    <row r="2" spans="1:8">
      <c r="A2" s="164"/>
      <c r="B2" s="164"/>
      <c r="C2" s="164"/>
      <c r="D2" s="164"/>
      <c r="E2" s="164"/>
      <c r="F2" s="155"/>
      <c r="G2" s="155"/>
      <c r="H2" s="155"/>
    </row>
    <row r="3" spans="1:8">
      <c r="A3" s="363" t="s">
        <v>129</v>
      </c>
      <c r="B3" s="363"/>
      <c r="C3" s="363"/>
      <c r="D3" s="363"/>
      <c r="E3" s="363"/>
      <c r="F3" s="155"/>
      <c r="G3" s="155"/>
      <c r="H3" s="155"/>
    </row>
    <row r="4" spans="1:8">
      <c r="A4" s="384" t="s">
        <v>130</v>
      </c>
      <c r="B4" s="384"/>
      <c r="C4" s="384"/>
      <c r="D4" s="384"/>
      <c r="E4" s="384"/>
      <c r="F4" s="155"/>
      <c r="G4" s="155"/>
      <c r="H4" s="155"/>
    </row>
    <row r="5" spans="1:8">
      <c r="A5" s="366" t="s">
        <v>131</v>
      </c>
      <c r="B5" s="366"/>
      <c r="C5" s="141" t="s">
        <v>163</v>
      </c>
      <c r="D5" s="142" t="s">
        <v>133</v>
      </c>
      <c r="E5" s="143" t="s">
        <v>134</v>
      </c>
      <c r="F5" s="289" t="s">
        <v>164</v>
      </c>
      <c r="G5" s="289" t="s">
        <v>165</v>
      </c>
      <c r="H5" s="155"/>
    </row>
    <row r="6" spans="1:8">
      <c r="A6" s="156" t="s">
        <v>166</v>
      </c>
      <c r="B6" s="157"/>
      <c r="C6" s="158">
        <v>1</v>
      </c>
      <c r="D6" s="165">
        <f>(F6+G6)/2</f>
        <v>2217.5650000000001</v>
      </c>
      <c r="E6" s="159">
        <v>60</v>
      </c>
      <c r="F6" s="290">
        <v>2140.13</v>
      </c>
      <c r="G6" s="290">
        <v>2295</v>
      </c>
      <c r="H6" s="155"/>
    </row>
    <row r="7" spans="1:8">
      <c r="A7" s="156" t="s">
        <v>167</v>
      </c>
      <c r="B7" s="157"/>
      <c r="C7" s="158">
        <v>1</v>
      </c>
      <c r="D7" s="165">
        <f t="shared" ref="D7:D25" si="0">(F7+G7)/2</f>
        <v>725</v>
      </c>
      <c r="E7" s="159">
        <v>60</v>
      </c>
      <c r="F7" s="290">
        <v>700</v>
      </c>
      <c r="G7" s="290">
        <v>750</v>
      </c>
      <c r="H7" s="155"/>
    </row>
    <row r="8" spans="1:8">
      <c r="A8" s="156" t="s">
        <v>168</v>
      </c>
      <c r="B8" s="157"/>
      <c r="C8" s="158">
        <v>1</v>
      </c>
      <c r="D8" s="165">
        <f t="shared" si="0"/>
        <v>725</v>
      </c>
      <c r="E8" s="159">
        <v>60</v>
      </c>
      <c r="F8" s="290">
        <v>700</v>
      </c>
      <c r="G8" s="290">
        <v>750</v>
      </c>
      <c r="H8" s="155"/>
    </row>
    <row r="9" spans="1:8">
      <c r="A9" s="156" t="s">
        <v>169</v>
      </c>
      <c r="B9" s="157"/>
      <c r="C9" s="158">
        <v>1</v>
      </c>
      <c r="D9" s="165">
        <f t="shared" si="0"/>
        <v>147.5</v>
      </c>
      <c r="E9" s="159">
        <v>12</v>
      </c>
      <c r="F9" s="290">
        <v>150</v>
      </c>
      <c r="G9" s="290">
        <v>145</v>
      </c>
      <c r="H9" s="155"/>
    </row>
    <row r="10" spans="1:8">
      <c r="A10" s="156" t="s">
        <v>170</v>
      </c>
      <c r="B10" s="157"/>
      <c r="C10" s="158">
        <v>3</v>
      </c>
      <c r="D10" s="165">
        <f t="shared" si="0"/>
        <v>54.65</v>
      </c>
      <c r="E10" s="159">
        <v>12</v>
      </c>
      <c r="F10" s="290">
        <v>59.4</v>
      </c>
      <c r="G10" s="290">
        <v>49.9</v>
      </c>
      <c r="H10" s="155"/>
    </row>
    <row r="11" spans="1:8">
      <c r="A11" s="156" t="s">
        <v>171</v>
      </c>
      <c r="B11" s="157"/>
      <c r="C11" s="158">
        <v>1</v>
      </c>
      <c r="D11" s="165">
        <f t="shared" si="0"/>
        <v>34.4</v>
      </c>
      <c r="E11" s="159">
        <v>12</v>
      </c>
      <c r="F11" s="290">
        <v>23.8</v>
      </c>
      <c r="G11" s="290">
        <v>45</v>
      </c>
      <c r="H11" s="155"/>
    </row>
    <row r="12" spans="1:8">
      <c r="A12" s="156" t="s">
        <v>172</v>
      </c>
      <c r="B12" s="157"/>
      <c r="C12" s="158">
        <v>1</v>
      </c>
      <c r="D12" s="165">
        <f t="shared" si="0"/>
        <v>56</v>
      </c>
      <c r="E12" s="159">
        <v>12</v>
      </c>
      <c r="F12" s="290">
        <v>64</v>
      </c>
      <c r="G12" s="290">
        <v>48</v>
      </c>
      <c r="H12" s="155"/>
    </row>
    <row r="13" spans="1:8">
      <c r="A13" s="156" t="s">
        <v>173</v>
      </c>
      <c r="B13" s="157"/>
      <c r="C13" s="158">
        <v>1</v>
      </c>
      <c r="D13" s="165">
        <f t="shared" si="0"/>
        <v>111.5</v>
      </c>
      <c r="E13" s="159">
        <v>12</v>
      </c>
      <c r="F13" s="290">
        <v>158</v>
      </c>
      <c r="G13" s="290">
        <v>65</v>
      </c>
      <c r="H13" s="155"/>
    </row>
    <row r="14" spans="1:8">
      <c r="A14" s="156" t="s">
        <v>174</v>
      </c>
      <c r="B14" s="157"/>
      <c r="C14" s="158">
        <v>1</v>
      </c>
      <c r="D14" s="165">
        <f t="shared" si="0"/>
        <v>35</v>
      </c>
      <c r="E14" s="159">
        <v>12</v>
      </c>
      <c r="F14" s="290">
        <v>44</v>
      </c>
      <c r="G14" s="290">
        <v>26</v>
      </c>
      <c r="H14" s="155"/>
    </row>
    <row r="15" spans="1:8">
      <c r="A15" s="156" t="s">
        <v>175</v>
      </c>
      <c r="B15" s="157"/>
      <c r="C15" s="158">
        <v>1</v>
      </c>
      <c r="D15" s="165">
        <f t="shared" si="0"/>
        <v>72</v>
      </c>
      <c r="E15" s="159">
        <v>12</v>
      </c>
      <c r="F15" s="290">
        <v>97</v>
      </c>
      <c r="G15" s="290">
        <v>47</v>
      </c>
      <c r="H15" s="155"/>
    </row>
    <row r="16" spans="1:8">
      <c r="A16" s="156" t="s">
        <v>176</v>
      </c>
      <c r="B16" s="157"/>
      <c r="C16" s="158">
        <v>1</v>
      </c>
      <c r="D16" s="165">
        <f t="shared" si="0"/>
        <v>34</v>
      </c>
      <c r="E16" s="159">
        <v>12</v>
      </c>
      <c r="F16" s="290">
        <v>40</v>
      </c>
      <c r="G16" s="290">
        <v>28</v>
      </c>
      <c r="H16" s="155"/>
    </row>
    <row r="17" spans="1:8">
      <c r="A17" s="156" t="s">
        <v>177</v>
      </c>
      <c r="B17" s="157"/>
      <c r="C17" s="158">
        <v>1</v>
      </c>
      <c r="D17" s="165">
        <f t="shared" si="0"/>
        <v>53.5</v>
      </c>
      <c r="E17" s="159">
        <v>12</v>
      </c>
      <c r="F17" s="290">
        <v>62</v>
      </c>
      <c r="G17" s="290">
        <v>45</v>
      </c>
      <c r="H17" s="155"/>
    </row>
    <row r="18" spans="1:8">
      <c r="A18" s="156" t="s">
        <v>178</v>
      </c>
      <c r="B18" s="157"/>
      <c r="C18" s="158">
        <v>1</v>
      </c>
      <c r="D18" s="165">
        <f t="shared" si="0"/>
        <v>295</v>
      </c>
      <c r="E18" s="159">
        <v>12</v>
      </c>
      <c r="F18" s="290">
        <v>400</v>
      </c>
      <c r="G18" s="290">
        <v>190</v>
      </c>
      <c r="H18" s="155"/>
    </row>
    <row r="19" spans="1:8">
      <c r="A19" s="156" t="s">
        <v>179</v>
      </c>
      <c r="B19" s="157"/>
      <c r="C19" s="158">
        <v>1</v>
      </c>
      <c r="D19" s="165">
        <f t="shared" si="0"/>
        <v>330</v>
      </c>
      <c r="E19" s="159">
        <v>12</v>
      </c>
      <c r="F19" s="290">
        <v>350</v>
      </c>
      <c r="G19" s="290">
        <v>310</v>
      </c>
      <c r="H19" s="155"/>
    </row>
    <row r="20" spans="1:8">
      <c r="A20" s="156" t="s">
        <v>180</v>
      </c>
      <c r="B20" s="157"/>
      <c r="C20" s="158">
        <v>1</v>
      </c>
      <c r="D20" s="165">
        <f t="shared" si="0"/>
        <v>16.75</v>
      </c>
      <c r="E20" s="159">
        <v>12</v>
      </c>
      <c r="F20" s="290">
        <v>18</v>
      </c>
      <c r="G20" s="290">
        <v>15.5</v>
      </c>
      <c r="H20" s="155"/>
    </row>
    <row r="21" spans="1:8">
      <c r="A21" s="156" t="s">
        <v>181</v>
      </c>
      <c r="B21" s="157"/>
      <c r="C21" s="158">
        <v>1</v>
      </c>
      <c r="D21" s="165">
        <f t="shared" si="0"/>
        <v>40.5</v>
      </c>
      <c r="E21" s="159">
        <v>12</v>
      </c>
      <c r="F21" s="290">
        <v>36</v>
      </c>
      <c r="G21" s="290">
        <v>45</v>
      </c>
      <c r="H21" s="155"/>
    </row>
    <row r="22" spans="1:8">
      <c r="A22" s="156" t="s">
        <v>182</v>
      </c>
      <c r="B22" s="157"/>
      <c r="C22" s="158">
        <v>1</v>
      </c>
      <c r="D22" s="165">
        <f t="shared" si="0"/>
        <v>54.7</v>
      </c>
      <c r="E22" s="159">
        <v>12</v>
      </c>
      <c r="F22" s="290">
        <v>61.4</v>
      </c>
      <c r="G22" s="290">
        <v>48</v>
      </c>
      <c r="H22" s="155"/>
    </row>
    <row r="23" spans="1:8">
      <c r="A23" s="156" t="s">
        <v>183</v>
      </c>
      <c r="B23" s="157"/>
      <c r="C23" s="158">
        <v>1</v>
      </c>
      <c r="D23" s="165">
        <f t="shared" si="0"/>
        <v>59.5</v>
      </c>
      <c r="E23" s="159">
        <v>12</v>
      </c>
      <c r="F23" s="290">
        <v>94</v>
      </c>
      <c r="G23" s="290">
        <v>25</v>
      </c>
      <c r="H23" s="155"/>
    </row>
    <row r="24" spans="1:8">
      <c r="A24" s="156" t="s">
        <v>184</v>
      </c>
      <c r="B24" s="157"/>
      <c r="C24" s="158">
        <v>12</v>
      </c>
      <c r="D24" s="165">
        <f t="shared" si="0"/>
        <v>239</v>
      </c>
      <c r="E24" s="159">
        <v>12</v>
      </c>
      <c r="F24" s="290">
        <v>240</v>
      </c>
      <c r="G24" s="290">
        <v>238</v>
      </c>
      <c r="H24" s="155"/>
    </row>
    <row r="25" spans="1:8">
      <c r="A25" s="156" t="s">
        <v>185</v>
      </c>
      <c r="B25" s="157"/>
      <c r="C25" s="158">
        <v>12</v>
      </c>
      <c r="D25" s="165">
        <f t="shared" si="0"/>
        <v>136</v>
      </c>
      <c r="E25" s="159">
        <v>12</v>
      </c>
      <c r="F25" s="290">
        <v>127</v>
      </c>
      <c r="G25" s="290">
        <v>145</v>
      </c>
      <c r="H25" s="155"/>
    </row>
    <row r="26" spans="1:8">
      <c r="A26" s="160"/>
      <c r="B26" s="157"/>
      <c r="C26" s="144"/>
      <c r="D26" s="166"/>
      <c r="E26" s="161"/>
      <c r="F26" s="155"/>
      <c r="G26" s="155"/>
      <c r="H26" s="155"/>
    </row>
    <row r="27" spans="1:8">
      <c r="A27" s="384" t="s">
        <v>149</v>
      </c>
      <c r="B27" s="384"/>
      <c r="C27" s="384"/>
      <c r="D27" s="384"/>
      <c r="E27" s="384"/>
      <c r="F27" s="155"/>
      <c r="G27" s="155"/>
      <c r="H27" s="155"/>
    </row>
    <row r="28" spans="1:8">
      <c r="A28" s="141" t="s">
        <v>131</v>
      </c>
      <c r="B28" s="141" t="s">
        <v>150</v>
      </c>
      <c r="C28" s="141" t="s">
        <v>133</v>
      </c>
      <c r="D28" s="141" t="s">
        <v>151</v>
      </c>
      <c r="E28" s="141" t="s">
        <v>152</v>
      </c>
      <c r="F28" s="155"/>
      <c r="G28" s="155"/>
      <c r="H28" s="155"/>
    </row>
    <row r="29" spans="1:8">
      <c r="A29" s="162" t="str">
        <f t="shared" ref="A29:A48" si="1">A6</f>
        <v>Roçadeira fio nylon</v>
      </c>
      <c r="B29" s="163">
        <f t="shared" ref="B29:B48" si="2">C6*12/E6</f>
        <v>0.2</v>
      </c>
      <c r="C29" s="147">
        <f t="shared" ref="C29:C48" si="3">D6</f>
        <v>2217.5650000000001</v>
      </c>
      <c r="D29" s="148">
        <f t="shared" ref="D29:D48" si="4">B29*C29</f>
        <v>443.51300000000003</v>
      </c>
      <c r="E29" s="148">
        <f t="shared" ref="E29:E48" si="5">D29/12</f>
        <v>36.959416666666669</v>
      </c>
      <c r="F29" s="155"/>
      <c r="G29" s="155"/>
      <c r="H29" s="155"/>
    </row>
    <row r="30" spans="1:8">
      <c r="A30" s="162" t="str">
        <f t="shared" si="1"/>
        <v>Roçadeira lâmina</v>
      </c>
      <c r="B30" s="163">
        <f t="shared" si="2"/>
        <v>0.2</v>
      </c>
      <c r="C30" s="147">
        <f t="shared" si="3"/>
        <v>725</v>
      </c>
      <c r="D30" s="148">
        <f t="shared" si="4"/>
        <v>145</v>
      </c>
      <c r="E30" s="148">
        <f t="shared" si="5"/>
        <v>12.083333333333334</v>
      </c>
      <c r="F30" s="155"/>
      <c r="G30" s="155"/>
      <c r="H30" s="155"/>
    </row>
    <row r="31" spans="1:8">
      <c r="A31" s="162" t="str">
        <f t="shared" si="1"/>
        <v>Máquina cortar grama</v>
      </c>
      <c r="B31" s="163">
        <f t="shared" si="2"/>
        <v>0.2</v>
      </c>
      <c r="C31" s="147">
        <f t="shared" si="3"/>
        <v>725</v>
      </c>
      <c r="D31" s="148">
        <f t="shared" si="4"/>
        <v>145</v>
      </c>
      <c r="E31" s="148">
        <f t="shared" si="5"/>
        <v>12.083333333333334</v>
      </c>
      <c r="F31" s="155"/>
      <c r="G31" s="155"/>
      <c r="H31" s="155"/>
    </row>
    <row r="32" spans="1:8">
      <c r="A32" s="162" t="str">
        <f t="shared" si="1"/>
        <v>Tela de proteção 1,50x2,00m</v>
      </c>
      <c r="B32" s="163">
        <f t="shared" si="2"/>
        <v>1</v>
      </c>
      <c r="C32" s="147">
        <f t="shared" si="3"/>
        <v>147.5</v>
      </c>
      <c r="D32" s="148">
        <f t="shared" si="4"/>
        <v>147.5</v>
      </c>
      <c r="E32" s="148">
        <f t="shared" si="5"/>
        <v>12.291666666666666</v>
      </c>
      <c r="F32" s="155"/>
      <c r="G32" s="155"/>
      <c r="H32" s="155"/>
    </row>
    <row r="33" spans="1:8">
      <c r="A33" s="162" t="str">
        <f t="shared" si="1"/>
        <v>Cone de sinalização 50cm</v>
      </c>
      <c r="B33" s="163">
        <f t="shared" si="2"/>
        <v>3</v>
      </c>
      <c r="C33" s="147">
        <f t="shared" si="3"/>
        <v>54.65</v>
      </c>
      <c r="D33" s="148">
        <f t="shared" si="4"/>
        <v>163.95</v>
      </c>
      <c r="E33" s="148">
        <f t="shared" si="5"/>
        <v>13.6625</v>
      </c>
      <c r="F33" s="155"/>
      <c r="G33" s="155"/>
      <c r="H33" s="155"/>
    </row>
    <row r="34" spans="1:8">
      <c r="A34" s="162" t="str">
        <f t="shared" si="1"/>
        <v>Enxada</v>
      </c>
      <c r="B34" s="163">
        <f t="shared" si="2"/>
        <v>1</v>
      </c>
      <c r="C34" s="147">
        <f t="shared" si="3"/>
        <v>34.4</v>
      </c>
      <c r="D34" s="148">
        <f t="shared" si="4"/>
        <v>34.4</v>
      </c>
      <c r="E34" s="148">
        <f t="shared" si="5"/>
        <v>2.8666666666666667</v>
      </c>
      <c r="F34" s="155"/>
      <c r="G34" s="155"/>
      <c r="H34" s="155"/>
    </row>
    <row r="35" spans="1:8">
      <c r="A35" s="162" t="str">
        <f t="shared" si="1"/>
        <v>Pá</v>
      </c>
      <c r="B35" s="163">
        <f t="shared" si="2"/>
        <v>1</v>
      </c>
      <c r="C35" s="147">
        <f t="shared" si="3"/>
        <v>56</v>
      </c>
      <c r="D35" s="148">
        <f t="shared" si="4"/>
        <v>56</v>
      </c>
      <c r="E35" s="148">
        <f t="shared" si="5"/>
        <v>4.666666666666667</v>
      </c>
      <c r="F35" s="155"/>
      <c r="G35" s="155"/>
      <c r="H35" s="155"/>
    </row>
    <row r="36" spans="1:8">
      <c r="A36" s="162" t="str">
        <f t="shared" si="1"/>
        <v>Garfo (forcado)</v>
      </c>
      <c r="B36" s="163">
        <f t="shared" si="2"/>
        <v>1</v>
      </c>
      <c r="C36" s="147">
        <f t="shared" si="3"/>
        <v>111.5</v>
      </c>
      <c r="D36" s="148">
        <f t="shared" si="4"/>
        <v>111.5</v>
      </c>
      <c r="E36" s="148">
        <f t="shared" si="5"/>
        <v>9.2916666666666661</v>
      </c>
      <c r="F36" s="155"/>
      <c r="G36" s="155"/>
      <c r="H36" s="155"/>
    </row>
    <row r="37" spans="1:8">
      <c r="A37" s="162" t="str">
        <f t="shared" si="1"/>
        <v>Vassoura metálica</v>
      </c>
      <c r="B37" s="163">
        <f t="shared" si="2"/>
        <v>1</v>
      </c>
      <c r="C37" s="147">
        <f t="shared" si="3"/>
        <v>35</v>
      </c>
      <c r="D37" s="148">
        <f t="shared" si="4"/>
        <v>35</v>
      </c>
      <c r="E37" s="148">
        <f t="shared" si="5"/>
        <v>2.9166666666666665</v>
      </c>
      <c r="F37" s="155"/>
      <c r="G37" s="155"/>
      <c r="H37" s="155"/>
    </row>
    <row r="38" spans="1:8">
      <c r="A38" s="162" t="str">
        <f t="shared" si="1"/>
        <v>Foice</v>
      </c>
      <c r="B38" s="163">
        <f t="shared" si="2"/>
        <v>1</v>
      </c>
      <c r="C38" s="147">
        <f t="shared" si="3"/>
        <v>72</v>
      </c>
      <c r="D38" s="148">
        <f t="shared" si="4"/>
        <v>72</v>
      </c>
      <c r="E38" s="148">
        <f t="shared" si="5"/>
        <v>6</v>
      </c>
      <c r="F38" s="155"/>
      <c r="G38" s="155"/>
      <c r="H38" s="155"/>
    </row>
    <row r="39" spans="1:8">
      <c r="A39" s="162" t="str">
        <f t="shared" si="1"/>
        <v>Facão</v>
      </c>
      <c r="B39" s="163">
        <f t="shared" si="2"/>
        <v>1</v>
      </c>
      <c r="C39" s="147">
        <f t="shared" si="3"/>
        <v>34</v>
      </c>
      <c r="D39" s="148">
        <f t="shared" si="4"/>
        <v>34</v>
      </c>
      <c r="E39" s="148">
        <f t="shared" si="5"/>
        <v>2.8333333333333335</v>
      </c>
      <c r="F39" s="155"/>
      <c r="G39" s="155"/>
      <c r="H39" s="155"/>
    </row>
    <row r="40" spans="1:8">
      <c r="A40" s="162" t="str">
        <f t="shared" si="1"/>
        <v>Vassourão</v>
      </c>
      <c r="B40" s="163">
        <f t="shared" si="2"/>
        <v>1</v>
      </c>
      <c r="C40" s="147">
        <f t="shared" si="3"/>
        <v>53.5</v>
      </c>
      <c r="D40" s="148">
        <f t="shared" si="4"/>
        <v>53.5</v>
      </c>
      <c r="E40" s="148">
        <f t="shared" si="5"/>
        <v>4.458333333333333</v>
      </c>
      <c r="F40" s="155"/>
      <c r="G40" s="155"/>
      <c r="H40" s="155"/>
    </row>
    <row r="41" spans="1:8">
      <c r="A41" s="162" t="str">
        <f t="shared" si="1"/>
        <v>Carrinho de mão</v>
      </c>
      <c r="B41" s="163">
        <f t="shared" si="2"/>
        <v>1</v>
      </c>
      <c r="C41" s="147">
        <f t="shared" si="3"/>
        <v>295</v>
      </c>
      <c r="D41" s="148">
        <f t="shared" si="4"/>
        <v>295</v>
      </c>
      <c r="E41" s="148">
        <f t="shared" si="5"/>
        <v>24.583333333333332</v>
      </c>
      <c r="F41" s="155"/>
      <c r="G41" s="155"/>
      <c r="H41" s="155"/>
    </row>
    <row r="42" spans="1:8">
      <c r="A42" s="162" t="str">
        <f t="shared" si="1"/>
        <v>Carrinho 100L gari</v>
      </c>
      <c r="B42" s="163">
        <f t="shared" si="2"/>
        <v>1</v>
      </c>
      <c r="C42" s="147">
        <f t="shared" si="3"/>
        <v>330</v>
      </c>
      <c r="D42" s="148">
        <f t="shared" si="4"/>
        <v>330</v>
      </c>
      <c r="E42" s="148">
        <f t="shared" si="5"/>
        <v>27.5</v>
      </c>
      <c r="F42" s="155"/>
      <c r="G42" s="155"/>
      <c r="H42" s="155"/>
    </row>
    <row r="43" spans="1:8">
      <c r="A43" s="162" t="str">
        <f t="shared" si="1"/>
        <v>Pá de lixo varrição rua</v>
      </c>
      <c r="B43" s="163">
        <f t="shared" si="2"/>
        <v>1</v>
      </c>
      <c r="C43" s="147">
        <f t="shared" si="3"/>
        <v>16.75</v>
      </c>
      <c r="D43" s="148">
        <f t="shared" si="4"/>
        <v>16.75</v>
      </c>
      <c r="E43" s="148">
        <f t="shared" si="5"/>
        <v>1.3958333333333333</v>
      </c>
      <c r="F43" s="155"/>
      <c r="G43" s="155"/>
      <c r="H43" s="155"/>
    </row>
    <row r="44" spans="1:8">
      <c r="A44" s="162" t="str">
        <f t="shared" si="1"/>
        <v>Vassoura piasava varrição rua</v>
      </c>
      <c r="B44" s="163">
        <f t="shared" si="2"/>
        <v>1</v>
      </c>
      <c r="C44" s="147">
        <f t="shared" si="3"/>
        <v>40.5</v>
      </c>
      <c r="D44" s="148">
        <f t="shared" si="4"/>
        <v>40.5</v>
      </c>
      <c r="E44" s="148">
        <f t="shared" si="5"/>
        <v>3.375</v>
      </c>
      <c r="F44" s="155"/>
      <c r="G44" s="155"/>
      <c r="H44" s="155"/>
    </row>
    <row r="45" spans="1:8">
      <c r="A45" s="162" t="str">
        <f t="shared" si="1"/>
        <v>Tesoura de poda</v>
      </c>
      <c r="B45" s="163">
        <f t="shared" si="2"/>
        <v>1</v>
      </c>
      <c r="C45" s="147">
        <f t="shared" si="3"/>
        <v>54.7</v>
      </c>
      <c r="D45" s="148">
        <f t="shared" si="4"/>
        <v>54.7</v>
      </c>
      <c r="E45" s="148">
        <f t="shared" si="5"/>
        <v>4.5583333333333336</v>
      </c>
      <c r="F45" s="155"/>
      <c r="G45" s="155"/>
      <c r="H45" s="155"/>
    </row>
    <row r="46" spans="1:8">
      <c r="A46" s="162" t="str">
        <f t="shared" si="1"/>
        <v>Rastel (ancinho)</v>
      </c>
      <c r="B46" s="163">
        <f t="shared" si="2"/>
        <v>1</v>
      </c>
      <c r="C46" s="147">
        <f t="shared" si="3"/>
        <v>59.5</v>
      </c>
      <c r="D46" s="148">
        <f t="shared" si="4"/>
        <v>59.5</v>
      </c>
      <c r="E46" s="148">
        <f t="shared" si="5"/>
        <v>4.958333333333333</v>
      </c>
      <c r="F46" s="155"/>
      <c r="G46" s="155"/>
      <c r="H46" s="155"/>
    </row>
    <row r="47" spans="1:8">
      <c r="A47" s="162" t="str">
        <f t="shared" si="1"/>
        <v>Fio de nylon (rolo 300m)</v>
      </c>
      <c r="B47" s="163">
        <f t="shared" si="2"/>
        <v>12</v>
      </c>
      <c r="C47" s="147">
        <f t="shared" si="3"/>
        <v>239</v>
      </c>
      <c r="D47" s="148">
        <f t="shared" si="4"/>
        <v>2868</v>
      </c>
      <c r="E47" s="148">
        <f t="shared" si="5"/>
        <v>239</v>
      </c>
      <c r="F47" s="155"/>
      <c r="G47" s="155"/>
      <c r="H47" s="155"/>
    </row>
    <row r="48" spans="1:8">
      <c r="A48" s="162" t="str">
        <f t="shared" si="1"/>
        <v>Lâmina</v>
      </c>
      <c r="B48" s="163">
        <f t="shared" si="2"/>
        <v>12</v>
      </c>
      <c r="C48" s="147">
        <f t="shared" si="3"/>
        <v>136</v>
      </c>
      <c r="D48" s="148">
        <f t="shared" si="4"/>
        <v>1632</v>
      </c>
      <c r="E48" s="148">
        <f t="shared" si="5"/>
        <v>136</v>
      </c>
      <c r="F48" s="155"/>
      <c r="G48" s="155"/>
      <c r="H48" s="155"/>
    </row>
    <row r="49" spans="1:8">
      <c r="A49" s="382" t="s">
        <v>153</v>
      </c>
      <c r="B49" s="382"/>
      <c r="C49" s="382"/>
      <c r="D49" s="167">
        <f>SUM(D29:D48)</f>
        <v>6737.8130000000001</v>
      </c>
      <c r="E49" s="167">
        <f>SUM(E29:E48)</f>
        <v>561.48441666666668</v>
      </c>
      <c r="F49" s="155"/>
      <c r="G49" s="155"/>
      <c r="H49" s="155"/>
    </row>
    <row r="50" spans="1:8">
      <c r="A50" s="150"/>
      <c r="B50" s="155"/>
      <c r="C50" s="155"/>
      <c r="D50" s="155"/>
      <c r="E50" s="155"/>
      <c r="F50" s="155"/>
      <c r="G50" s="155"/>
      <c r="H50" s="155"/>
    </row>
    <row r="51" spans="1:8">
      <c r="A51" s="385" t="s">
        <v>154</v>
      </c>
      <c r="B51" s="385"/>
      <c r="C51" s="385"/>
      <c r="D51" s="385"/>
      <c r="E51" s="385"/>
      <c r="F51" s="155"/>
      <c r="G51" s="155"/>
      <c r="H51" s="155"/>
    </row>
    <row r="52" spans="1:8">
      <c r="A52" s="375" t="s">
        <v>155</v>
      </c>
      <c r="B52" s="375"/>
      <c r="C52" s="375"/>
      <c r="D52" s="375"/>
      <c r="E52" s="375"/>
      <c r="F52" s="155"/>
      <c r="G52" s="155"/>
      <c r="H52" s="155"/>
    </row>
    <row r="53" spans="1:8">
      <c r="A53" s="376" t="s">
        <v>156</v>
      </c>
      <c r="B53" s="377"/>
      <c r="C53" s="378"/>
      <c r="D53" s="151" t="s">
        <v>151</v>
      </c>
      <c r="E53" s="151" t="s">
        <v>152</v>
      </c>
      <c r="F53" s="155"/>
      <c r="G53" s="155"/>
      <c r="H53" s="155"/>
    </row>
    <row r="54" spans="1:8">
      <c r="A54" s="379" t="s">
        <v>157</v>
      </c>
      <c r="B54" s="380"/>
      <c r="C54" s="381"/>
      <c r="D54" s="152">
        <f>D49</f>
        <v>6737.8130000000001</v>
      </c>
      <c r="E54" s="153">
        <f>D54/12</f>
        <v>561.48441666666668</v>
      </c>
      <c r="F54" s="155"/>
      <c r="G54" s="155"/>
      <c r="H54" s="155"/>
    </row>
    <row r="55" spans="1:8">
      <c r="A55" s="376" t="s">
        <v>158</v>
      </c>
      <c r="B55" s="377"/>
      <c r="C55" s="378"/>
      <c r="D55" s="154">
        <f>D54</f>
        <v>6737.8130000000001</v>
      </c>
      <c r="E55" s="154">
        <f>E54</f>
        <v>561.48441666666668</v>
      </c>
      <c r="F55" s="155"/>
      <c r="G55" s="155"/>
      <c r="H55" s="155"/>
    </row>
    <row r="56" spans="1:8">
      <c r="A56" s="155"/>
      <c r="B56" s="155"/>
      <c r="C56" s="155"/>
      <c r="D56" s="155"/>
      <c r="E56" s="155"/>
      <c r="F56" s="155"/>
      <c r="G56" s="155"/>
      <c r="H56" s="155"/>
    </row>
    <row r="57" spans="1:8">
      <c r="A57" s="369" t="s">
        <v>159</v>
      </c>
      <c r="B57" s="369"/>
      <c r="C57" s="369"/>
      <c r="D57" s="369"/>
      <c r="E57" s="369"/>
      <c r="F57" s="155"/>
      <c r="G57" s="155"/>
      <c r="H57" s="155"/>
    </row>
    <row r="58" spans="1:8">
      <c r="A58" s="370" t="s">
        <v>156</v>
      </c>
      <c r="B58" s="370"/>
      <c r="C58" s="370"/>
      <c r="D58" s="370"/>
      <c r="E58" s="151" t="s">
        <v>160</v>
      </c>
      <c r="F58" s="155"/>
      <c r="G58" s="155"/>
      <c r="H58" s="155"/>
    </row>
    <row r="59" spans="1:8">
      <c r="A59" s="371" t="str">
        <f>A54</f>
        <v>Município de Aratiba</v>
      </c>
      <c r="B59" s="371"/>
      <c r="C59" s="371"/>
      <c r="D59" s="371"/>
      <c r="E59" s="153">
        <f>E54</f>
        <v>561.48441666666668</v>
      </c>
      <c r="F59" s="155"/>
      <c r="G59" s="155"/>
      <c r="H59" s="155"/>
    </row>
    <row r="60" spans="1:8">
      <c r="A60" s="370" t="s">
        <v>161</v>
      </c>
      <c r="B60" s="370"/>
      <c r="C60" s="370"/>
      <c r="D60" s="370"/>
      <c r="E60" s="154">
        <f>E59</f>
        <v>561.48441666666668</v>
      </c>
      <c r="F60" s="155"/>
      <c r="G60" s="155"/>
      <c r="H60" s="155"/>
    </row>
    <row r="61" spans="1:8">
      <c r="A61" s="155"/>
      <c r="B61" s="155"/>
      <c r="C61" s="155"/>
      <c r="D61" s="155"/>
      <c r="E61" s="155"/>
      <c r="F61" s="155"/>
      <c r="G61" s="155"/>
      <c r="H61" s="155"/>
    </row>
    <row r="62" spans="1:8">
      <c r="A62" s="155"/>
      <c r="B62" s="155"/>
      <c r="C62" s="155"/>
      <c r="D62" s="155"/>
      <c r="E62" s="155"/>
      <c r="F62" s="155"/>
      <c r="G62" s="155"/>
      <c r="H62" s="155"/>
    </row>
    <row r="63" spans="1:8">
      <c r="A63" s="155"/>
      <c r="B63" s="155"/>
      <c r="C63" s="155"/>
      <c r="D63" s="155"/>
      <c r="E63" s="155"/>
      <c r="F63" s="155"/>
      <c r="G63" s="155"/>
      <c r="H63" s="155"/>
    </row>
    <row r="87" ht="26.25" customHeight="1"/>
    <row r="88" ht="26.25" customHeight="1"/>
    <row r="89" ht="26.25" customHeight="1"/>
    <row r="90" ht="26.25" customHeight="1"/>
  </sheetData>
  <sheetProtection password="B391" sheet="1" objects="1" scenarios="1"/>
  <mergeCells count="15">
    <mergeCell ref="A57:E57"/>
    <mergeCell ref="A58:D58"/>
    <mergeCell ref="A59:D59"/>
    <mergeCell ref="A60:D60"/>
    <mergeCell ref="A51:E51"/>
    <mergeCell ref="A52:E52"/>
    <mergeCell ref="A53:C53"/>
    <mergeCell ref="A54:C54"/>
    <mergeCell ref="A55:C55"/>
    <mergeCell ref="A49:C49"/>
    <mergeCell ref="A1:E1"/>
    <mergeCell ref="A3:E3"/>
    <mergeCell ref="A4:E4"/>
    <mergeCell ref="A5:B5"/>
    <mergeCell ref="A27:E27"/>
  </mergeCells>
  <pageMargins left="0.511811024" right="0.511811024" top="0.78740157499999996" bottom="0.78740157499999996" header="0.31496062000000002" footer="0.31496062000000002"/>
  <pageSetup paperSize="9" scale="77" orientation="portrait" r:id="rId1"/>
  <ignoredErrors>
    <ignoredError sqref="D6:D7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1">
    <pageSetUpPr fitToPage="1"/>
  </sheetPr>
  <dimension ref="A1:H68"/>
  <sheetViews>
    <sheetView workbookViewId="0">
      <selection activeCell="C21" sqref="C21"/>
    </sheetView>
  </sheetViews>
  <sheetFormatPr defaultRowHeight="15"/>
  <cols>
    <col min="1" max="1" width="41.7109375" bestFit="1" customWidth="1"/>
    <col min="2" max="2" width="61.5703125" customWidth="1"/>
    <col min="3" max="3" width="31.42578125" customWidth="1"/>
    <col min="4" max="4" width="16.5703125" customWidth="1"/>
    <col min="7" max="7" width="15" bestFit="1" customWidth="1"/>
    <col min="8" max="8" width="16.42578125" customWidth="1"/>
  </cols>
  <sheetData>
    <row r="1" spans="1:8">
      <c r="A1" s="389" t="s">
        <v>205</v>
      </c>
      <c r="B1" s="389"/>
      <c r="C1" s="389"/>
      <c r="D1" s="389"/>
      <c r="E1" s="389"/>
      <c r="F1" s="389"/>
      <c r="G1" s="389"/>
      <c r="H1" s="193"/>
    </row>
    <row r="2" spans="1:8" ht="44.25" customHeight="1">
      <c r="A2" s="194" t="s">
        <v>189</v>
      </c>
      <c r="B2" s="194" t="s">
        <v>131</v>
      </c>
      <c r="C2" s="194" t="s">
        <v>202</v>
      </c>
      <c r="D2" s="194" t="s">
        <v>203</v>
      </c>
      <c r="E2" s="386" t="s">
        <v>204</v>
      </c>
      <c r="F2" s="386"/>
      <c r="G2" s="194" t="s">
        <v>232</v>
      </c>
      <c r="H2" s="194" t="s">
        <v>190</v>
      </c>
    </row>
    <row r="3" spans="1:8">
      <c r="A3" s="183">
        <v>1</v>
      </c>
      <c r="B3" s="184" t="s">
        <v>238</v>
      </c>
      <c r="C3" s="185" t="s">
        <v>224</v>
      </c>
      <c r="D3" s="185">
        <v>12</v>
      </c>
      <c r="E3" s="393">
        <v>40.49</v>
      </c>
      <c r="F3" s="394"/>
      <c r="G3" s="186">
        <f>E3</f>
        <v>40.49</v>
      </c>
      <c r="H3" s="186">
        <f>G3/12</f>
        <v>3.374166666666667</v>
      </c>
    </row>
    <row r="4" spans="1:8">
      <c r="A4" s="183">
        <v>2</v>
      </c>
      <c r="B4" s="184" t="s">
        <v>239</v>
      </c>
      <c r="C4" s="185" t="s">
        <v>224</v>
      </c>
      <c r="D4" s="187">
        <v>12</v>
      </c>
      <c r="E4" s="393">
        <v>8.9</v>
      </c>
      <c r="F4" s="394"/>
      <c r="G4" s="186">
        <f t="shared" ref="G4:G6" si="0">E4</f>
        <v>8.9</v>
      </c>
      <c r="H4" s="186">
        <f t="shared" ref="H4:H8" si="1">G4/12</f>
        <v>0.7416666666666667</v>
      </c>
    </row>
    <row r="5" spans="1:8" ht="25.5">
      <c r="A5" s="183">
        <v>3</v>
      </c>
      <c r="B5" s="184" t="s">
        <v>240</v>
      </c>
      <c r="C5" s="185" t="s">
        <v>224</v>
      </c>
      <c r="D5" s="187">
        <v>12</v>
      </c>
      <c r="E5" s="393">
        <v>69.900000000000006</v>
      </c>
      <c r="F5" s="394"/>
      <c r="G5" s="186">
        <f t="shared" si="0"/>
        <v>69.900000000000006</v>
      </c>
      <c r="H5" s="186">
        <f t="shared" si="1"/>
        <v>5.8250000000000002</v>
      </c>
    </row>
    <row r="6" spans="1:8">
      <c r="A6" s="183">
        <v>4</v>
      </c>
      <c r="B6" s="184" t="s">
        <v>241</v>
      </c>
      <c r="C6" s="185" t="s">
        <v>224</v>
      </c>
      <c r="D6" s="187">
        <v>12</v>
      </c>
      <c r="E6" s="393">
        <v>39.9</v>
      </c>
      <c r="F6" s="394"/>
      <c r="G6" s="186">
        <f t="shared" si="0"/>
        <v>39.9</v>
      </c>
      <c r="H6" s="186">
        <f t="shared" si="1"/>
        <v>3.3249999999999997</v>
      </c>
    </row>
    <row r="7" spans="1:8">
      <c r="A7" s="183">
        <v>5</v>
      </c>
      <c r="B7" s="188" t="s">
        <v>210</v>
      </c>
      <c r="C7" s="175" t="s">
        <v>230</v>
      </c>
      <c r="D7" s="175">
        <v>12</v>
      </c>
      <c r="E7" s="393">
        <v>3.1</v>
      </c>
      <c r="F7" s="394"/>
      <c r="G7" s="189">
        <f>E7*4</f>
        <v>12.4</v>
      </c>
      <c r="H7" s="189">
        <f t="shared" si="1"/>
        <v>1.0333333333333334</v>
      </c>
    </row>
    <row r="8" spans="1:8">
      <c r="A8" s="173">
        <v>6</v>
      </c>
      <c r="B8" s="188" t="s">
        <v>235</v>
      </c>
      <c r="C8" s="175" t="s">
        <v>230</v>
      </c>
      <c r="D8" s="175">
        <v>12</v>
      </c>
      <c r="E8" s="393">
        <v>14.33</v>
      </c>
      <c r="F8" s="394"/>
      <c r="G8" s="189">
        <f>E8*4</f>
        <v>57.32</v>
      </c>
      <c r="H8" s="189">
        <f t="shared" si="1"/>
        <v>4.7766666666666664</v>
      </c>
    </row>
    <row r="9" spans="1:8">
      <c r="A9" s="177"/>
      <c r="B9" s="178"/>
      <c r="C9" s="179"/>
      <c r="D9" s="179"/>
      <c r="E9" s="180"/>
      <c r="F9" s="180"/>
      <c r="G9" s="190">
        <f>SUM(G3:G8)</f>
        <v>228.91</v>
      </c>
      <c r="H9" s="191">
        <f>SUM(H3:H8)</f>
        <v>19.075833333333332</v>
      </c>
    </row>
    <row r="10" spans="1:8">
      <c r="A10" s="195"/>
      <c r="B10" s="195"/>
      <c r="C10" s="195"/>
      <c r="D10" s="195"/>
      <c r="E10" s="195"/>
      <c r="F10" s="195"/>
      <c r="G10" s="195"/>
      <c r="H10" s="195"/>
    </row>
    <row r="11" spans="1:8">
      <c r="A11" s="195"/>
      <c r="B11" s="195"/>
      <c r="C11" s="195"/>
      <c r="D11" s="195"/>
      <c r="E11" s="195"/>
      <c r="F11" s="195"/>
      <c r="G11" s="195"/>
      <c r="H11" s="195"/>
    </row>
    <row r="12" spans="1:8">
      <c r="A12" s="195"/>
      <c r="B12" s="195"/>
      <c r="C12" s="195"/>
      <c r="D12" s="195"/>
      <c r="E12" s="195"/>
      <c r="F12" s="195"/>
      <c r="G12" s="195"/>
      <c r="H12" s="195"/>
    </row>
    <row r="13" spans="1:8">
      <c r="A13" s="390" t="s">
        <v>215</v>
      </c>
      <c r="B13" s="391"/>
      <c r="C13" s="391"/>
      <c r="D13" s="391"/>
      <c r="E13" s="391"/>
      <c r="F13" s="391"/>
      <c r="G13" s="392"/>
      <c r="H13" s="195"/>
    </row>
    <row r="14" spans="1:8" ht="42.75" customHeight="1">
      <c r="A14" s="194" t="s">
        <v>189</v>
      </c>
      <c r="B14" s="194" t="s">
        <v>131</v>
      </c>
      <c r="C14" s="194" t="s">
        <v>202</v>
      </c>
      <c r="D14" s="194" t="s">
        <v>203</v>
      </c>
      <c r="E14" s="386" t="s">
        <v>204</v>
      </c>
      <c r="F14" s="386"/>
      <c r="G14" s="194" t="s">
        <v>232</v>
      </c>
      <c r="H14" s="194" t="s">
        <v>190</v>
      </c>
    </row>
    <row r="15" spans="1:8">
      <c r="A15" s="173">
        <v>1</v>
      </c>
      <c r="B15" s="188" t="s">
        <v>223</v>
      </c>
      <c r="C15" s="171" t="s">
        <v>224</v>
      </c>
      <c r="D15" s="171">
        <v>12</v>
      </c>
      <c r="E15" s="387">
        <v>44.3</v>
      </c>
      <c r="F15" s="388"/>
      <c r="G15" s="189">
        <v>44.3</v>
      </c>
      <c r="H15" s="189">
        <f>G15/12</f>
        <v>3.6916666666666664</v>
      </c>
    </row>
    <row r="16" spans="1:8">
      <c r="A16" s="173">
        <v>2</v>
      </c>
      <c r="B16" s="188" t="s">
        <v>222</v>
      </c>
      <c r="C16" s="171" t="s">
        <v>224</v>
      </c>
      <c r="D16" s="175">
        <v>12</v>
      </c>
      <c r="E16" s="387">
        <v>92.09</v>
      </c>
      <c r="F16" s="388"/>
      <c r="G16" s="189">
        <v>92.09</v>
      </c>
      <c r="H16" s="189">
        <f t="shared" ref="H16:H23" si="2">G16/12</f>
        <v>7.6741666666666672</v>
      </c>
    </row>
    <row r="17" spans="1:8">
      <c r="A17" s="173">
        <v>3</v>
      </c>
      <c r="B17" s="188" t="s">
        <v>221</v>
      </c>
      <c r="C17" s="171" t="s">
        <v>224</v>
      </c>
      <c r="D17" s="175">
        <v>12</v>
      </c>
      <c r="E17" s="387">
        <v>82.85</v>
      </c>
      <c r="F17" s="388"/>
      <c r="G17" s="189">
        <v>82.85</v>
      </c>
      <c r="H17" s="189">
        <f t="shared" si="2"/>
        <v>6.9041666666666659</v>
      </c>
    </row>
    <row r="18" spans="1:8">
      <c r="A18" s="173">
        <v>4</v>
      </c>
      <c r="B18" s="188" t="s">
        <v>227</v>
      </c>
      <c r="C18" s="171" t="s">
        <v>224</v>
      </c>
      <c r="D18" s="175">
        <v>12</v>
      </c>
      <c r="E18" s="387">
        <v>39.9</v>
      </c>
      <c r="F18" s="388"/>
      <c r="G18" s="189">
        <v>39.9</v>
      </c>
      <c r="H18" s="189">
        <f t="shared" si="2"/>
        <v>3.3249999999999997</v>
      </c>
    </row>
    <row r="19" spans="1:8">
      <c r="A19" s="183">
        <v>5</v>
      </c>
      <c r="B19" s="188" t="s">
        <v>218</v>
      </c>
      <c r="C19" s="171" t="s">
        <v>224</v>
      </c>
      <c r="D19" s="175">
        <v>12</v>
      </c>
      <c r="E19" s="387">
        <v>140.35</v>
      </c>
      <c r="F19" s="388"/>
      <c r="G19" s="189">
        <f>E19</f>
        <v>140.35</v>
      </c>
      <c r="H19" s="189">
        <f t="shared" si="2"/>
        <v>11.695833333333333</v>
      </c>
    </row>
    <row r="20" spans="1:8">
      <c r="A20" s="183">
        <v>6</v>
      </c>
      <c r="B20" s="188" t="s">
        <v>217</v>
      </c>
      <c r="C20" s="171" t="s">
        <v>224</v>
      </c>
      <c r="D20" s="175">
        <v>12</v>
      </c>
      <c r="E20" s="387">
        <v>297</v>
      </c>
      <c r="F20" s="388"/>
      <c r="G20" s="189">
        <f>E20</f>
        <v>297</v>
      </c>
      <c r="H20" s="189">
        <f t="shared" si="2"/>
        <v>24.75</v>
      </c>
    </row>
    <row r="21" spans="1:8">
      <c r="A21" s="183">
        <v>7</v>
      </c>
      <c r="B21" s="188" t="s">
        <v>219</v>
      </c>
      <c r="C21" s="171" t="s">
        <v>230</v>
      </c>
      <c r="D21" s="175">
        <v>12</v>
      </c>
      <c r="E21" s="387">
        <v>4.6399999999999997</v>
      </c>
      <c r="F21" s="388"/>
      <c r="G21" s="189">
        <f>(4.64*4)</f>
        <v>18.559999999999999</v>
      </c>
      <c r="H21" s="189">
        <f t="shared" si="2"/>
        <v>1.5466666666666666</v>
      </c>
    </row>
    <row r="22" spans="1:8">
      <c r="A22" s="183">
        <v>8</v>
      </c>
      <c r="B22" s="188" t="s">
        <v>220</v>
      </c>
      <c r="C22" s="171" t="s">
        <v>225</v>
      </c>
      <c r="D22" s="175">
        <v>12</v>
      </c>
      <c r="E22" s="387">
        <v>32.9</v>
      </c>
      <c r="F22" s="388"/>
      <c r="G22" s="189">
        <v>32.9</v>
      </c>
      <c r="H22" s="189">
        <f t="shared" si="2"/>
        <v>2.7416666666666667</v>
      </c>
    </row>
    <row r="23" spans="1:8">
      <c r="A23" s="183">
        <v>9</v>
      </c>
      <c r="B23" s="188" t="s">
        <v>216</v>
      </c>
      <c r="C23" s="171" t="s">
        <v>226</v>
      </c>
      <c r="D23" s="175">
        <v>12</v>
      </c>
      <c r="E23" s="387">
        <v>23.9</v>
      </c>
      <c r="F23" s="388"/>
      <c r="G23" s="189">
        <f>(47.9*2)</f>
        <v>95.8</v>
      </c>
      <c r="H23" s="189">
        <f t="shared" si="2"/>
        <v>7.9833333333333334</v>
      </c>
    </row>
    <row r="24" spans="1:8">
      <c r="A24" s="177"/>
      <c r="B24" s="178"/>
      <c r="C24" s="179"/>
      <c r="D24" s="179"/>
      <c r="E24" s="180"/>
      <c r="F24" s="180"/>
      <c r="G24" s="190">
        <f>SUM(G15:G23)</f>
        <v>843.74999999999989</v>
      </c>
      <c r="H24" s="191">
        <f>SUM(H15:H23)</f>
        <v>70.3125</v>
      </c>
    </row>
    <row r="25" spans="1:8">
      <c r="A25" s="195"/>
      <c r="B25" s="195"/>
      <c r="C25" s="195"/>
      <c r="D25" s="195"/>
      <c r="E25" s="195"/>
      <c r="F25" s="195"/>
      <c r="G25" s="195"/>
      <c r="H25" s="195"/>
    </row>
    <row r="26" spans="1:8">
      <c r="A26" s="195"/>
      <c r="B26" s="195"/>
      <c r="C26" s="195"/>
      <c r="D26" s="195"/>
      <c r="E26" s="195"/>
      <c r="F26" s="195"/>
      <c r="G26" s="195"/>
      <c r="H26" s="195"/>
    </row>
    <row r="27" spans="1:8">
      <c r="A27" s="195"/>
      <c r="B27" s="195"/>
      <c r="C27" s="195"/>
      <c r="D27" s="195"/>
      <c r="E27" s="195"/>
      <c r="F27" s="195"/>
      <c r="G27" s="195"/>
      <c r="H27" s="195"/>
    </row>
    <row r="28" spans="1:8">
      <c r="A28" s="389" t="s">
        <v>206</v>
      </c>
      <c r="B28" s="389"/>
      <c r="C28" s="389"/>
      <c r="D28" s="389"/>
      <c r="E28" s="389"/>
      <c r="F28" s="389"/>
      <c r="G28" s="389"/>
      <c r="H28" s="195"/>
    </row>
    <row r="29" spans="1:8" ht="39" customHeight="1">
      <c r="A29" s="194" t="s">
        <v>189</v>
      </c>
      <c r="B29" s="194" t="s">
        <v>131</v>
      </c>
      <c r="C29" s="194" t="s">
        <v>202</v>
      </c>
      <c r="D29" s="194" t="s">
        <v>203</v>
      </c>
      <c r="E29" s="386" t="s">
        <v>204</v>
      </c>
      <c r="F29" s="386"/>
      <c r="G29" s="194" t="s">
        <v>232</v>
      </c>
      <c r="H29" s="194" t="s">
        <v>190</v>
      </c>
    </row>
    <row r="30" spans="1:8">
      <c r="A30" s="173">
        <v>1</v>
      </c>
      <c r="B30" s="188" t="s">
        <v>228</v>
      </c>
      <c r="C30" s="171" t="s">
        <v>224</v>
      </c>
      <c r="D30" s="171">
        <v>12</v>
      </c>
      <c r="E30" s="387">
        <v>44.9</v>
      </c>
      <c r="F30" s="388"/>
      <c r="G30" s="189">
        <f>E30</f>
        <v>44.9</v>
      </c>
      <c r="H30" s="189">
        <f>G30/12</f>
        <v>3.7416666666666667</v>
      </c>
    </row>
    <row r="31" spans="1:8">
      <c r="A31" s="173">
        <v>2</v>
      </c>
      <c r="B31" s="188" t="s">
        <v>209</v>
      </c>
      <c r="C31" s="171" t="s">
        <v>231</v>
      </c>
      <c r="D31" s="175">
        <v>12</v>
      </c>
      <c r="E31" s="387">
        <v>39.119999999999997</v>
      </c>
      <c r="F31" s="388"/>
      <c r="G31" s="189">
        <f>E31*2</f>
        <v>78.239999999999995</v>
      </c>
      <c r="H31" s="189">
        <f t="shared" ref="H31:H35" si="3">G31/12</f>
        <v>6.52</v>
      </c>
    </row>
    <row r="32" spans="1:8">
      <c r="A32" s="173">
        <v>3</v>
      </c>
      <c r="B32" s="188" t="s">
        <v>229</v>
      </c>
      <c r="C32" s="171" t="s">
        <v>224</v>
      </c>
      <c r="D32" s="175">
        <v>12</v>
      </c>
      <c r="E32" s="387">
        <v>82.85</v>
      </c>
      <c r="F32" s="388"/>
      <c r="G32" s="189">
        <f>E32</f>
        <v>82.85</v>
      </c>
      <c r="H32" s="189">
        <f t="shared" si="3"/>
        <v>6.9041666666666659</v>
      </c>
    </row>
    <row r="33" spans="1:8">
      <c r="A33" s="173">
        <v>4</v>
      </c>
      <c r="B33" s="188" t="s">
        <v>227</v>
      </c>
      <c r="C33" s="171" t="s">
        <v>224</v>
      </c>
      <c r="D33" s="175">
        <v>12</v>
      </c>
      <c r="E33" s="387">
        <v>39.9</v>
      </c>
      <c r="F33" s="388"/>
      <c r="G33" s="189">
        <f>E33</f>
        <v>39.9</v>
      </c>
      <c r="H33" s="189">
        <f t="shared" si="3"/>
        <v>3.3249999999999997</v>
      </c>
    </row>
    <row r="34" spans="1:8">
      <c r="A34" s="183">
        <v>5</v>
      </c>
      <c r="B34" s="188" t="s">
        <v>219</v>
      </c>
      <c r="C34" s="175" t="s">
        <v>230</v>
      </c>
      <c r="D34" s="175">
        <v>12</v>
      </c>
      <c r="E34" s="387">
        <v>4.6399999999999997</v>
      </c>
      <c r="F34" s="388"/>
      <c r="G34" s="189">
        <f>E34*4</f>
        <v>18.559999999999999</v>
      </c>
      <c r="H34" s="189">
        <f t="shared" si="3"/>
        <v>1.5466666666666666</v>
      </c>
    </row>
    <row r="35" spans="1:8">
      <c r="A35" s="183">
        <v>6</v>
      </c>
      <c r="B35" s="188" t="s">
        <v>210</v>
      </c>
      <c r="C35" s="175" t="s">
        <v>230</v>
      </c>
      <c r="D35" s="175">
        <v>12</v>
      </c>
      <c r="E35" s="387">
        <v>3.1</v>
      </c>
      <c r="F35" s="388"/>
      <c r="G35" s="189">
        <f>E35*4</f>
        <v>12.4</v>
      </c>
      <c r="H35" s="189">
        <f t="shared" si="3"/>
        <v>1.0333333333333334</v>
      </c>
    </row>
    <row r="36" spans="1:8">
      <c r="A36" s="177"/>
      <c r="B36" s="178"/>
      <c r="C36" s="179"/>
      <c r="D36" s="179"/>
      <c r="E36" s="180"/>
      <c r="F36" s="180"/>
      <c r="G36" s="190">
        <f>SUM(G30:G35)</f>
        <v>276.84999999999997</v>
      </c>
      <c r="H36" s="190">
        <f>SUM(H30:H35)</f>
        <v>23.070833333333333</v>
      </c>
    </row>
    <row r="37" spans="1:8">
      <c r="A37" s="195"/>
      <c r="B37" s="195"/>
      <c r="C37" s="195"/>
      <c r="D37" s="195"/>
      <c r="E37" s="195"/>
      <c r="F37" s="195"/>
      <c r="G37" s="195"/>
      <c r="H37" s="195"/>
    </row>
    <row r="38" spans="1:8">
      <c r="A38" s="195"/>
      <c r="B38" s="195"/>
      <c r="C38" s="195"/>
      <c r="D38" s="195"/>
      <c r="E38" s="195"/>
      <c r="F38" s="195"/>
      <c r="G38" s="195"/>
      <c r="H38" s="195"/>
    </row>
    <row r="39" spans="1:8">
      <c r="A39" s="389" t="s">
        <v>207</v>
      </c>
      <c r="B39" s="389"/>
      <c r="C39" s="389"/>
      <c r="D39" s="389"/>
      <c r="E39" s="389"/>
      <c r="F39" s="389"/>
      <c r="G39" s="389"/>
      <c r="H39" s="195"/>
    </row>
    <row r="40" spans="1:8" ht="46.5" customHeight="1">
      <c r="A40" s="194" t="s">
        <v>189</v>
      </c>
      <c r="B40" s="194" t="s">
        <v>131</v>
      </c>
      <c r="C40" s="194" t="s">
        <v>202</v>
      </c>
      <c r="D40" s="194" t="s">
        <v>203</v>
      </c>
      <c r="E40" s="386" t="s">
        <v>204</v>
      </c>
      <c r="F40" s="386"/>
      <c r="G40" s="194" t="s">
        <v>232</v>
      </c>
      <c r="H40" s="194" t="s">
        <v>190</v>
      </c>
    </row>
    <row r="41" spans="1:8">
      <c r="A41" s="173">
        <v>1</v>
      </c>
      <c r="B41" s="188" t="s">
        <v>228</v>
      </c>
      <c r="C41" s="171" t="s">
        <v>224</v>
      </c>
      <c r="D41" s="171">
        <v>12</v>
      </c>
      <c r="E41" s="387">
        <v>44.9</v>
      </c>
      <c r="F41" s="388"/>
      <c r="G41" s="189">
        <f>E41</f>
        <v>44.9</v>
      </c>
      <c r="H41" s="189">
        <f>G41/12</f>
        <v>3.7416666666666667</v>
      </c>
    </row>
    <row r="42" spans="1:8">
      <c r="A42" s="173">
        <v>2</v>
      </c>
      <c r="B42" s="188" t="s">
        <v>209</v>
      </c>
      <c r="C42" s="171" t="s">
        <v>231</v>
      </c>
      <c r="D42" s="175">
        <v>12</v>
      </c>
      <c r="E42" s="387">
        <v>39.119999999999997</v>
      </c>
      <c r="F42" s="388"/>
      <c r="G42" s="189">
        <f>E42*2</f>
        <v>78.239999999999995</v>
      </c>
      <c r="H42" s="189">
        <f t="shared" ref="H42:H46" si="4">G42/12</f>
        <v>6.52</v>
      </c>
    </row>
    <row r="43" spans="1:8">
      <c r="A43" s="173">
        <v>3</v>
      </c>
      <c r="B43" s="188" t="s">
        <v>229</v>
      </c>
      <c r="C43" s="171" t="s">
        <v>224</v>
      </c>
      <c r="D43" s="175">
        <v>12</v>
      </c>
      <c r="E43" s="387">
        <v>82.85</v>
      </c>
      <c r="F43" s="388"/>
      <c r="G43" s="189">
        <f>E43</f>
        <v>82.85</v>
      </c>
      <c r="H43" s="189">
        <f t="shared" si="4"/>
        <v>6.9041666666666659</v>
      </c>
    </row>
    <row r="44" spans="1:8">
      <c r="A44" s="173">
        <v>4</v>
      </c>
      <c r="B44" s="188" t="s">
        <v>227</v>
      </c>
      <c r="C44" s="171" t="s">
        <v>224</v>
      </c>
      <c r="D44" s="175">
        <v>12</v>
      </c>
      <c r="E44" s="387">
        <v>39.9</v>
      </c>
      <c r="F44" s="388"/>
      <c r="G44" s="189">
        <f>E44</f>
        <v>39.9</v>
      </c>
      <c r="H44" s="189">
        <f t="shared" si="4"/>
        <v>3.3249999999999997</v>
      </c>
    </row>
    <row r="45" spans="1:8">
      <c r="A45" s="183">
        <v>5</v>
      </c>
      <c r="B45" s="188" t="s">
        <v>219</v>
      </c>
      <c r="C45" s="175" t="s">
        <v>230</v>
      </c>
      <c r="D45" s="175">
        <v>12</v>
      </c>
      <c r="E45" s="387">
        <v>4.6399999999999997</v>
      </c>
      <c r="F45" s="388"/>
      <c r="G45" s="189">
        <f>E45*4</f>
        <v>18.559999999999999</v>
      </c>
      <c r="H45" s="189">
        <f t="shared" si="4"/>
        <v>1.5466666666666666</v>
      </c>
    </row>
    <row r="46" spans="1:8">
      <c r="A46" s="183">
        <v>6</v>
      </c>
      <c r="B46" s="188" t="s">
        <v>210</v>
      </c>
      <c r="C46" s="175" t="s">
        <v>230</v>
      </c>
      <c r="D46" s="175">
        <v>12</v>
      </c>
      <c r="E46" s="387">
        <v>3.1</v>
      </c>
      <c r="F46" s="388"/>
      <c r="G46" s="189">
        <f>E46*4</f>
        <v>12.4</v>
      </c>
      <c r="H46" s="189">
        <f t="shared" si="4"/>
        <v>1.0333333333333334</v>
      </c>
    </row>
    <row r="47" spans="1:8">
      <c r="A47" s="177"/>
      <c r="B47" s="178"/>
      <c r="C47" s="179"/>
      <c r="D47" s="179"/>
      <c r="E47" s="180"/>
      <c r="F47" s="180"/>
      <c r="G47" s="190">
        <f>SUM(G41:G46)</f>
        <v>276.84999999999997</v>
      </c>
      <c r="H47" s="190">
        <f>SUM(H41:H46)</f>
        <v>23.070833333333333</v>
      </c>
    </row>
    <row r="48" spans="1:8">
      <c r="A48" s="195"/>
      <c r="B48" s="195"/>
      <c r="C48" s="195"/>
      <c r="D48" s="195"/>
      <c r="E48" s="195"/>
      <c r="F48" s="195"/>
      <c r="G48" s="195"/>
      <c r="H48" s="195"/>
    </row>
    <row r="49" spans="1:8">
      <c r="A49" s="195"/>
      <c r="B49" s="195"/>
      <c r="C49" s="195"/>
      <c r="D49" s="195"/>
      <c r="E49" s="195"/>
      <c r="F49" s="195"/>
      <c r="G49" s="195"/>
      <c r="H49" s="195"/>
    </row>
    <row r="50" spans="1:8">
      <c r="A50" s="389" t="s">
        <v>208</v>
      </c>
      <c r="B50" s="389"/>
      <c r="C50" s="389"/>
      <c r="D50" s="389"/>
      <c r="E50" s="389"/>
      <c r="F50" s="389"/>
      <c r="G50" s="389"/>
      <c r="H50" s="195"/>
    </row>
    <row r="51" spans="1:8" ht="44.25" customHeight="1">
      <c r="A51" s="194" t="s">
        <v>189</v>
      </c>
      <c r="B51" s="194" t="s">
        <v>131</v>
      </c>
      <c r="C51" s="194" t="s">
        <v>202</v>
      </c>
      <c r="D51" s="194" t="s">
        <v>203</v>
      </c>
      <c r="E51" s="386" t="s">
        <v>204</v>
      </c>
      <c r="F51" s="386"/>
      <c r="G51" s="194" t="s">
        <v>232</v>
      </c>
      <c r="H51" s="194" t="s">
        <v>190</v>
      </c>
    </row>
    <row r="52" spans="1:8">
      <c r="A52" s="173">
        <v>1</v>
      </c>
      <c r="B52" s="188" t="s">
        <v>236</v>
      </c>
      <c r="C52" s="171" t="s">
        <v>237</v>
      </c>
      <c r="D52" s="175">
        <v>12</v>
      </c>
      <c r="E52" s="387">
        <v>89.9</v>
      </c>
      <c r="F52" s="388"/>
      <c r="G52" s="189">
        <f>E52*3</f>
        <v>269.70000000000005</v>
      </c>
      <c r="H52" s="189">
        <f t="shared" ref="H52:H55" si="5">G52/12</f>
        <v>22.475000000000005</v>
      </c>
    </row>
    <row r="53" spans="1:8">
      <c r="A53" s="173">
        <v>2</v>
      </c>
      <c r="B53" s="188" t="s">
        <v>229</v>
      </c>
      <c r="C53" s="171" t="s">
        <v>224</v>
      </c>
      <c r="D53" s="175">
        <v>12</v>
      </c>
      <c r="E53" s="387">
        <v>82.85</v>
      </c>
      <c r="F53" s="388"/>
      <c r="G53" s="189">
        <f>E53</f>
        <v>82.85</v>
      </c>
      <c r="H53" s="189">
        <f t="shared" si="5"/>
        <v>6.9041666666666659</v>
      </c>
    </row>
    <row r="54" spans="1:8">
      <c r="A54" s="173">
        <v>3</v>
      </c>
      <c r="B54" s="188" t="s">
        <v>235</v>
      </c>
      <c r="C54" s="175" t="s">
        <v>230</v>
      </c>
      <c r="D54" s="175">
        <v>12</v>
      </c>
      <c r="E54" s="387">
        <v>14.33</v>
      </c>
      <c r="F54" s="388"/>
      <c r="G54" s="189">
        <f>E54*4</f>
        <v>57.32</v>
      </c>
      <c r="H54" s="189">
        <f t="shared" si="5"/>
        <v>4.7766666666666664</v>
      </c>
    </row>
    <row r="55" spans="1:8">
      <c r="A55" s="173">
        <v>4</v>
      </c>
      <c r="B55" s="188" t="s">
        <v>210</v>
      </c>
      <c r="C55" s="175" t="s">
        <v>230</v>
      </c>
      <c r="D55" s="175">
        <v>12</v>
      </c>
      <c r="E55" s="387">
        <v>3.1</v>
      </c>
      <c r="F55" s="388"/>
      <c r="G55" s="189">
        <f>E55*4</f>
        <v>12.4</v>
      </c>
      <c r="H55" s="189">
        <f t="shared" si="5"/>
        <v>1.0333333333333334</v>
      </c>
    </row>
    <row r="56" spans="1:8">
      <c r="A56" s="177"/>
      <c r="B56" s="178"/>
      <c r="C56" s="179"/>
      <c r="D56" s="179"/>
      <c r="E56" s="192"/>
      <c r="F56" s="192"/>
      <c r="G56" s="190">
        <f>SUM(G52:G55)</f>
        <v>422.27000000000004</v>
      </c>
      <c r="H56" s="190">
        <f>SUM(H52:H55)</f>
        <v>35.189166666666665</v>
      </c>
    </row>
    <row r="68" spans="2:2">
      <c r="B68" s="80"/>
    </row>
  </sheetData>
  <sheetProtection password="B391" sheet="1" objects="1" scenarios="1"/>
  <mergeCells count="41">
    <mergeCell ref="E53:F53"/>
    <mergeCell ref="E54:F54"/>
    <mergeCell ref="E55:F55"/>
    <mergeCell ref="E35:F35"/>
    <mergeCell ref="E46:F46"/>
    <mergeCell ref="E45:F45"/>
    <mergeCell ref="A50:G50"/>
    <mergeCell ref="E51:F51"/>
    <mergeCell ref="E52:F52"/>
    <mergeCell ref="A39:G39"/>
    <mergeCell ref="E40:F40"/>
    <mergeCell ref="E41:F41"/>
    <mergeCell ref="E42:F42"/>
    <mergeCell ref="E43:F43"/>
    <mergeCell ref="E44:F44"/>
    <mergeCell ref="E30:F30"/>
    <mergeCell ref="E31:F31"/>
    <mergeCell ref="E32:F32"/>
    <mergeCell ref="E33:F33"/>
    <mergeCell ref="E34:F34"/>
    <mergeCell ref="A1:G1"/>
    <mergeCell ref="A13:G13"/>
    <mergeCell ref="E14:F14"/>
    <mergeCell ref="E15:F15"/>
    <mergeCell ref="E16:F16"/>
    <mergeCell ref="E2:F2"/>
    <mergeCell ref="E3:F3"/>
    <mergeCell ref="E4:F4"/>
    <mergeCell ref="E5:F5"/>
    <mergeCell ref="E6:F6"/>
    <mergeCell ref="E8:F8"/>
    <mergeCell ref="E7:F7"/>
    <mergeCell ref="E29:F29"/>
    <mergeCell ref="E20:F20"/>
    <mergeCell ref="E22:F22"/>
    <mergeCell ref="E17:F17"/>
    <mergeCell ref="E18:F18"/>
    <mergeCell ref="E19:F19"/>
    <mergeCell ref="A28:G28"/>
    <mergeCell ref="E21:F21"/>
    <mergeCell ref="E23:F23"/>
  </mergeCells>
  <pageMargins left="0.511811024" right="0.511811024" top="0.78740157499999996" bottom="0.78740157499999996" header="0.31496062000000002" footer="0.31496062000000002"/>
  <pageSetup paperSize="9" scale="4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>
    <pageSetUpPr fitToPage="1"/>
  </sheetPr>
  <dimension ref="A1:H47"/>
  <sheetViews>
    <sheetView workbookViewId="0">
      <selection activeCell="K9" sqref="K9"/>
    </sheetView>
  </sheetViews>
  <sheetFormatPr defaultRowHeight="15"/>
  <cols>
    <col min="1" max="1" width="10.28515625" bestFit="1" customWidth="1"/>
    <col min="2" max="2" width="95.140625" customWidth="1"/>
    <col min="3" max="3" width="15.42578125" customWidth="1"/>
    <col min="4" max="4" width="17" customWidth="1"/>
    <col min="7" max="7" width="15" bestFit="1" customWidth="1"/>
    <col min="8" max="8" width="16" customWidth="1"/>
  </cols>
  <sheetData>
    <row r="1" spans="1:8">
      <c r="A1" s="395" t="s">
        <v>243</v>
      </c>
      <c r="B1" s="395"/>
      <c r="C1" s="395"/>
      <c r="D1" s="395"/>
      <c r="E1" s="395"/>
      <c r="F1" s="395"/>
      <c r="G1" s="395"/>
      <c r="H1" s="139"/>
    </row>
    <row r="2" spans="1:8" ht="38.25">
      <c r="A2" s="168" t="s">
        <v>189</v>
      </c>
      <c r="B2" s="168" t="s">
        <v>131</v>
      </c>
      <c r="C2" s="168" t="s">
        <v>202</v>
      </c>
      <c r="D2" s="168" t="s">
        <v>203</v>
      </c>
      <c r="E2" s="396" t="s">
        <v>204</v>
      </c>
      <c r="F2" s="396"/>
      <c r="G2" s="168" t="s">
        <v>232</v>
      </c>
      <c r="H2" s="168" t="s">
        <v>190</v>
      </c>
    </row>
    <row r="3" spans="1:8" ht="39">
      <c r="A3" s="169">
        <v>1</v>
      </c>
      <c r="B3" s="170" t="s">
        <v>211</v>
      </c>
      <c r="C3" s="171">
        <v>2</v>
      </c>
      <c r="D3" s="171">
        <v>12</v>
      </c>
      <c r="E3" s="387">
        <v>171.21</v>
      </c>
      <c r="F3" s="388"/>
      <c r="G3" s="172">
        <f>E3*C3</f>
        <v>342.42</v>
      </c>
      <c r="H3" s="172">
        <f>G3/12</f>
        <v>28.535</v>
      </c>
    </row>
    <row r="4" spans="1:8" ht="38.25">
      <c r="A4" s="173">
        <v>2</v>
      </c>
      <c r="B4" s="174" t="s">
        <v>212</v>
      </c>
      <c r="C4" s="175">
        <v>2</v>
      </c>
      <c r="D4" s="175">
        <v>12</v>
      </c>
      <c r="E4" s="387">
        <v>153.75</v>
      </c>
      <c r="F4" s="388"/>
      <c r="G4" s="172">
        <f>E4*C4</f>
        <v>307.5</v>
      </c>
      <c r="H4" s="172">
        <f t="shared" ref="H4:H6" si="0">G4/12</f>
        <v>25.625</v>
      </c>
    </row>
    <row r="5" spans="1:8" ht="26.25">
      <c r="A5" s="173">
        <v>3</v>
      </c>
      <c r="B5" s="176" t="s">
        <v>213</v>
      </c>
      <c r="C5" s="175">
        <v>5</v>
      </c>
      <c r="D5" s="175">
        <v>12</v>
      </c>
      <c r="E5" s="387">
        <v>16.899999999999999</v>
      </c>
      <c r="F5" s="388"/>
      <c r="G5" s="172">
        <f>E5*C5</f>
        <v>84.5</v>
      </c>
      <c r="H5" s="172">
        <f t="shared" si="0"/>
        <v>7.041666666666667</v>
      </c>
    </row>
    <row r="6" spans="1:8">
      <c r="A6" s="173">
        <v>4</v>
      </c>
      <c r="B6" s="174" t="s">
        <v>214</v>
      </c>
      <c r="C6" s="175">
        <v>2</v>
      </c>
      <c r="D6" s="175">
        <v>12</v>
      </c>
      <c r="E6" s="387">
        <v>10</v>
      </c>
      <c r="F6" s="388"/>
      <c r="G6" s="172">
        <f>E6*C6</f>
        <v>20</v>
      </c>
      <c r="H6" s="172">
        <f t="shared" si="0"/>
        <v>1.6666666666666667</v>
      </c>
    </row>
    <row r="7" spans="1:8">
      <c r="A7" s="177"/>
      <c r="B7" s="178"/>
      <c r="C7" s="179"/>
      <c r="D7" s="179"/>
      <c r="E7" s="180"/>
      <c r="F7" s="180"/>
      <c r="G7" s="181">
        <f>SUM(G3:G6)</f>
        <v>754.42000000000007</v>
      </c>
      <c r="H7" s="181">
        <f>SUM(H3:H6)</f>
        <v>62.868333333333325</v>
      </c>
    </row>
    <row r="8" spans="1:8">
      <c r="A8" s="139"/>
      <c r="B8" s="139"/>
      <c r="C8" s="139"/>
      <c r="D8" s="139"/>
      <c r="E8" s="139"/>
      <c r="F8" s="139"/>
      <c r="G8" s="139"/>
      <c r="H8" s="139"/>
    </row>
    <row r="9" spans="1:8">
      <c r="A9" s="395" t="s">
        <v>244</v>
      </c>
      <c r="B9" s="395"/>
      <c r="C9" s="395"/>
      <c r="D9" s="395"/>
      <c r="E9" s="395"/>
      <c r="F9" s="395"/>
      <c r="G9" s="395"/>
      <c r="H9" s="139"/>
    </row>
    <row r="10" spans="1:8" ht="43.5" customHeight="1">
      <c r="A10" s="168" t="s">
        <v>189</v>
      </c>
      <c r="B10" s="168" t="s">
        <v>131</v>
      </c>
      <c r="C10" s="168" t="s">
        <v>202</v>
      </c>
      <c r="D10" s="168" t="s">
        <v>203</v>
      </c>
      <c r="E10" s="396" t="s">
        <v>204</v>
      </c>
      <c r="F10" s="396"/>
      <c r="G10" s="168" t="s">
        <v>232</v>
      </c>
      <c r="H10" s="168" t="s">
        <v>190</v>
      </c>
    </row>
    <row r="11" spans="1:8" ht="38.25">
      <c r="A11" s="173">
        <v>1</v>
      </c>
      <c r="B11" s="174" t="s">
        <v>246</v>
      </c>
      <c r="C11" s="175">
        <v>2</v>
      </c>
      <c r="D11" s="175">
        <v>12</v>
      </c>
      <c r="E11" s="387">
        <v>153.75</v>
      </c>
      <c r="F11" s="388"/>
      <c r="G11" s="172">
        <f>E11*C11</f>
        <v>307.5</v>
      </c>
      <c r="H11" s="172">
        <f t="shared" ref="H11:H13" si="1">G11/12</f>
        <v>25.625</v>
      </c>
    </row>
    <row r="12" spans="1:8" ht="26.25">
      <c r="A12" s="173">
        <v>2</v>
      </c>
      <c r="B12" s="176" t="s">
        <v>213</v>
      </c>
      <c r="C12" s="175">
        <v>5</v>
      </c>
      <c r="D12" s="175">
        <v>12</v>
      </c>
      <c r="E12" s="387">
        <v>16.899999999999999</v>
      </c>
      <c r="F12" s="388"/>
      <c r="G12" s="172">
        <f>E12*C12</f>
        <v>84.5</v>
      </c>
      <c r="H12" s="172">
        <f t="shared" si="1"/>
        <v>7.041666666666667</v>
      </c>
    </row>
    <row r="13" spans="1:8">
      <c r="A13" s="173">
        <v>3</v>
      </c>
      <c r="B13" s="174" t="s">
        <v>214</v>
      </c>
      <c r="C13" s="175">
        <v>2</v>
      </c>
      <c r="D13" s="175">
        <v>12</v>
      </c>
      <c r="E13" s="387">
        <v>10</v>
      </c>
      <c r="F13" s="388"/>
      <c r="G13" s="172">
        <f>E13*C13</f>
        <v>20</v>
      </c>
      <c r="H13" s="172">
        <f t="shared" si="1"/>
        <v>1.6666666666666667</v>
      </c>
    </row>
    <row r="14" spans="1:8">
      <c r="A14" s="177"/>
      <c r="B14" s="178"/>
      <c r="C14" s="179"/>
      <c r="D14" s="179"/>
      <c r="E14" s="180"/>
      <c r="F14" s="180"/>
      <c r="G14" s="182">
        <f>SUM(G11:G13)</f>
        <v>412</v>
      </c>
      <c r="H14" s="182">
        <f>SUM(H11:H13)</f>
        <v>34.333333333333329</v>
      </c>
    </row>
    <row r="15" spans="1:8">
      <c r="A15" s="139"/>
      <c r="B15" s="139"/>
      <c r="C15" s="139"/>
      <c r="D15" s="139"/>
      <c r="E15" s="139"/>
      <c r="F15" s="139"/>
      <c r="G15" s="139"/>
      <c r="H15" s="139"/>
    </row>
    <row r="16" spans="1:8">
      <c r="A16" s="139"/>
      <c r="B16" s="139"/>
      <c r="C16" s="139"/>
      <c r="D16" s="139"/>
      <c r="E16" s="139"/>
      <c r="F16" s="139"/>
      <c r="G16" s="139"/>
      <c r="H16" s="139"/>
    </row>
    <row r="17" spans="1:8">
      <c r="A17" s="395" t="s">
        <v>245</v>
      </c>
      <c r="B17" s="395"/>
      <c r="C17" s="395"/>
      <c r="D17" s="395"/>
      <c r="E17" s="395"/>
      <c r="F17" s="395"/>
      <c r="G17" s="395"/>
      <c r="H17" s="139"/>
    </row>
    <row r="18" spans="1:8" ht="38.25" customHeight="1">
      <c r="A18" s="168" t="s">
        <v>189</v>
      </c>
      <c r="B18" s="168" t="s">
        <v>131</v>
      </c>
      <c r="C18" s="168" t="s">
        <v>202</v>
      </c>
      <c r="D18" s="168" t="s">
        <v>203</v>
      </c>
      <c r="E18" s="396" t="s">
        <v>204</v>
      </c>
      <c r="F18" s="396"/>
      <c r="G18" s="168" t="s">
        <v>232</v>
      </c>
      <c r="H18" s="168" t="s">
        <v>190</v>
      </c>
    </row>
    <row r="19" spans="1:8" ht="25.5">
      <c r="A19" s="173">
        <v>1</v>
      </c>
      <c r="B19" s="174" t="s">
        <v>248</v>
      </c>
      <c r="C19" s="175">
        <v>3</v>
      </c>
      <c r="D19" s="175">
        <v>12</v>
      </c>
      <c r="E19" s="387">
        <v>22.9</v>
      </c>
      <c r="F19" s="388"/>
      <c r="G19" s="172">
        <f>E19*C19</f>
        <v>68.699999999999989</v>
      </c>
      <c r="H19" s="172">
        <f t="shared" ref="H19:H21" si="2">G19/12</f>
        <v>5.7249999999999988</v>
      </c>
    </row>
    <row r="20" spans="1:8" ht="26.25">
      <c r="A20" s="173">
        <v>2</v>
      </c>
      <c r="B20" s="176" t="s">
        <v>213</v>
      </c>
      <c r="C20" s="175">
        <v>5</v>
      </c>
      <c r="D20" s="175">
        <v>12</v>
      </c>
      <c r="E20" s="387">
        <v>16.899999999999999</v>
      </c>
      <c r="F20" s="388"/>
      <c r="G20" s="172">
        <f>E20*C20</f>
        <v>84.5</v>
      </c>
      <c r="H20" s="172">
        <f t="shared" si="2"/>
        <v>7.041666666666667</v>
      </c>
    </row>
    <row r="21" spans="1:8">
      <c r="A21" s="173">
        <v>3</v>
      </c>
      <c r="B21" s="174" t="s">
        <v>214</v>
      </c>
      <c r="C21" s="175">
        <v>2</v>
      </c>
      <c r="D21" s="175">
        <v>12</v>
      </c>
      <c r="E21" s="387">
        <v>10</v>
      </c>
      <c r="F21" s="388"/>
      <c r="G21" s="172">
        <f>E21*C21</f>
        <v>20</v>
      </c>
      <c r="H21" s="172">
        <f t="shared" si="2"/>
        <v>1.6666666666666667</v>
      </c>
    </row>
    <row r="22" spans="1:8">
      <c r="A22" s="177"/>
      <c r="B22" s="178"/>
      <c r="C22" s="179"/>
      <c r="D22" s="179"/>
      <c r="E22" s="180"/>
      <c r="F22" s="180"/>
      <c r="G22" s="182">
        <f>SUM(G19:G21)</f>
        <v>173.2</v>
      </c>
      <c r="H22" s="182">
        <f>SUM(H19:H21)</f>
        <v>14.433333333333332</v>
      </c>
    </row>
    <row r="23" spans="1:8">
      <c r="A23" s="139"/>
      <c r="B23" s="139"/>
      <c r="C23" s="139"/>
      <c r="D23" s="139"/>
      <c r="E23" s="139"/>
      <c r="F23" s="139"/>
      <c r="G23" s="139"/>
      <c r="H23" s="139"/>
    </row>
    <row r="24" spans="1:8">
      <c r="A24" s="139"/>
      <c r="B24" s="139"/>
      <c r="C24" s="139"/>
      <c r="D24" s="139"/>
      <c r="E24" s="139"/>
      <c r="F24" s="139"/>
      <c r="G24" s="139"/>
      <c r="H24" s="139"/>
    </row>
    <row r="25" spans="1:8">
      <c r="A25" s="395" t="s">
        <v>249</v>
      </c>
      <c r="B25" s="395"/>
      <c r="C25" s="395"/>
      <c r="D25" s="395"/>
      <c r="E25" s="395"/>
      <c r="F25" s="395"/>
      <c r="G25" s="395"/>
      <c r="H25" s="139"/>
    </row>
    <row r="26" spans="1:8" ht="38.25" customHeight="1">
      <c r="A26" s="168" t="s">
        <v>189</v>
      </c>
      <c r="B26" s="168" t="s">
        <v>131</v>
      </c>
      <c r="C26" s="168" t="s">
        <v>202</v>
      </c>
      <c r="D26" s="168" t="s">
        <v>203</v>
      </c>
      <c r="E26" s="396" t="s">
        <v>204</v>
      </c>
      <c r="F26" s="396"/>
      <c r="G26" s="168" t="s">
        <v>232</v>
      </c>
      <c r="H26" s="168" t="s">
        <v>190</v>
      </c>
    </row>
    <row r="27" spans="1:8" ht="25.5">
      <c r="A27" s="173">
        <v>1</v>
      </c>
      <c r="B27" s="174" t="s">
        <v>248</v>
      </c>
      <c r="C27" s="175">
        <v>3</v>
      </c>
      <c r="D27" s="175">
        <v>12</v>
      </c>
      <c r="E27" s="387">
        <v>22.9</v>
      </c>
      <c r="F27" s="388"/>
      <c r="G27" s="172">
        <f>E27*C27</f>
        <v>68.699999999999989</v>
      </c>
      <c r="H27" s="172">
        <f t="shared" ref="H27:H29" si="3">G27/12</f>
        <v>5.7249999999999988</v>
      </c>
    </row>
    <row r="28" spans="1:8" ht="26.25">
      <c r="A28" s="173">
        <v>2</v>
      </c>
      <c r="B28" s="176" t="s">
        <v>213</v>
      </c>
      <c r="C28" s="175">
        <v>5</v>
      </c>
      <c r="D28" s="175">
        <v>12</v>
      </c>
      <c r="E28" s="387">
        <v>16.899999999999999</v>
      </c>
      <c r="F28" s="388"/>
      <c r="G28" s="172">
        <f>E28*C28</f>
        <v>84.5</v>
      </c>
      <c r="H28" s="172">
        <f t="shared" si="3"/>
        <v>7.041666666666667</v>
      </c>
    </row>
    <row r="29" spans="1:8">
      <c r="A29" s="173">
        <v>3</v>
      </c>
      <c r="B29" s="174" t="s">
        <v>214</v>
      </c>
      <c r="C29" s="175">
        <v>2</v>
      </c>
      <c r="D29" s="175">
        <v>12</v>
      </c>
      <c r="E29" s="387">
        <v>10</v>
      </c>
      <c r="F29" s="388"/>
      <c r="G29" s="172">
        <f>E29*C29</f>
        <v>20</v>
      </c>
      <c r="H29" s="172">
        <f t="shared" si="3"/>
        <v>1.6666666666666667</v>
      </c>
    </row>
    <row r="30" spans="1:8">
      <c r="A30" s="177"/>
      <c r="B30" s="178"/>
      <c r="C30" s="179"/>
      <c r="D30" s="179"/>
      <c r="E30" s="180"/>
      <c r="F30" s="180"/>
      <c r="G30" s="182">
        <f>SUM(G27:G29)</f>
        <v>173.2</v>
      </c>
      <c r="H30" s="182">
        <f>SUM(H27:H29)</f>
        <v>14.433333333333332</v>
      </c>
    </row>
    <row r="31" spans="1:8">
      <c r="A31" s="139"/>
      <c r="B31" s="139"/>
      <c r="C31" s="139"/>
      <c r="D31" s="139"/>
      <c r="E31" s="139"/>
      <c r="F31" s="139"/>
      <c r="G31" s="139"/>
      <c r="H31" s="139"/>
    </row>
    <row r="32" spans="1:8">
      <c r="A32" s="139"/>
      <c r="B32" s="139"/>
      <c r="C32" s="139"/>
      <c r="D32" s="139"/>
      <c r="E32" s="139"/>
      <c r="F32" s="139"/>
      <c r="G32" s="139"/>
      <c r="H32" s="139"/>
    </row>
    <row r="33" spans="1:8">
      <c r="A33" s="395" t="s">
        <v>250</v>
      </c>
      <c r="B33" s="395"/>
      <c r="C33" s="395"/>
      <c r="D33" s="395"/>
      <c r="E33" s="395"/>
      <c r="F33" s="395"/>
      <c r="G33" s="395"/>
      <c r="H33" s="139"/>
    </row>
    <row r="34" spans="1:8" ht="42" customHeight="1">
      <c r="A34" s="168" t="s">
        <v>189</v>
      </c>
      <c r="B34" s="168" t="s">
        <v>131</v>
      </c>
      <c r="C34" s="168" t="s">
        <v>202</v>
      </c>
      <c r="D34" s="168" t="s">
        <v>203</v>
      </c>
      <c r="E34" s="396" t="s">
        <v>204</v>
      </c>
      <c r="F34" s="396"/>
      <c r="G34" s="168" t="s">
        <v>232</v>
      </c>
      <c r="H34" s="168" t="s">
        <v>190</v>
      </c>
    </row>
    <row r="35" spans="1:8" ht="39">
      <c r="A35" s="169">
        <v>1</v>
      </c>
      <c r="B35" s="170" t="s">
        <v>211</v>
      </c>
      <c r="C35" s="171">
        <v>2</v>
      </c>
      <c r="D35" s="171">
        <v>12</v>
      </c>
      <c r="E35" s="387">
        <v>171.21</v>
      </c>
      <c r="F35" s="388"/>
      <c r="G35" s="172">
        <f>E35*C35</f>
        <v>342.42</v>
      </c>
      <c r="H35" s="172">
        <f>G35/12</f>
        <v>28.535</v>
      </c>
    </row>
    <row r="36" spans="1:8" ht="38.25">
      <c r="A36" s="173">
        <v>2</v>
      </c>
      <c r="B36" s="174" t="s">
        <v>212</v>
      </c>
      <c r="C36" s="175">
        <v>2</v>
      </c>
      <c r="D36" s="175">
        <v>12</v>
      </c>
      <c r="E36" s="387">
        <v>153.75</v>
      </c>
      <c r="F36" s="388"/>
      <c r="G36" s="172">
        <f>E36*C36</f>
        <v>307.5</v>
      </c>
      <c r="H36" s="172">
        <f t="shared" ref="H36:H38" si="4">G36/12</f>
        <v>25.625</v>
      </c>
    </row>
    <row r="37" spans="1:8" ht="26.25">
      <c r="A37" s="173">
        <v>3</v>
      </c>
      <c r="B37" s="176" t="s">
        <v>213</v>
      </c>
      <c r="C37" s="175">
        <v>5</v>
      </c>
      <c r="D37" s="175">
        <v>12</v>
      </c>
      <c r="E37" s="387">
        <v>16.899999999999999</v>
      </c>
      <c r="F37" s="388"/>
      <c r="G37" s="172">
        <f>E37*C37</f>
        <v>84.5</v>
      </c>
      <c r="H37" s="172">
        <f t="shared" si="4"/>
        <v>7.041666666666667</v>
      </c>
    </row>
    <row r="38" spans="1:8">
      <c r="A38" s="173">
        <v>4</v>
      </c>
      <c r="B38" s="174" t="s">
        <v>214</v>
      </c>
      <c r="C38" s="175">
        <v>2</v>
      </c>
      <c r="D38" s="175">
        <v>12</v>
      </c>
      <c r="E38" s="387">
        <v>10</v>
      </c>
      <c r="F38" s="388"/>
      <c r="G38" s="172">
        <f>E38*C38</f>
        <v>20</v>
      </c>
      <c r="H38" s="172">
        <f t="shared" si="4"/>
        <v>1.6666666666666667</v>
      </c>
    </row>
    <row r="39" spans="1:8">
      <c r="A39" s="177"/>
      <c r="B39" s="178"/>
      <c r="C39" s="179"/>
      <c r="D39" s="179"/>
      <c r="E39" s="180"/>
      <c r="F39" s="180"/>
      <c r="G39" s="182">
        <f>SUM(G35:G38)</f>
        <v>754.42000000000007</v>
      </c>
      <c r="H39" s="182">
        <f>SUM(H35:H38)</f>
        <v>62.868333333333325</v>
      </c>
    </row>
    <row r="40" spans="1:8">
      <c r="A40" s="139"/>
      <c r="B40" s="139"/>
      <c r="C40" s="139"/>
      <c r="D40" s="139"/>
      <c r="E40" s="139"/>
      <c r="F40" s="139"/>
      <c r="G40" s="139"/>
      <c r="H40" s="139"/>
    </row>
    <row r="41" spans="1:8">
      <c r="A41" s="139"/>
      <c r="B41" s="139"/>
      <c r="C41" s="139"/>
      <c r="D41" s="139"/>
      <c r="E41" s="139"/>
      <c r="F41" s="139"/>
      <c r="G41" s="139"/>
      <c r="H41" s="139"/>
    </row>
    <row r="42" spans="1:8">
      <c r="A42" s="395" t="s">
        <v>251</v>
      </c>
      <c r="B42" s="395"/>
      <c r="C42" s="395"/>
      <c r="D42" s="395"/>
      <c r="E42" s="395"/>
      <c r="F42" s="395"/>
      <c r="G42" s="395"/>
      <c r="H42" s="139"/>
    </row>
    <row r="43" spans="1:8" ht="42" customHeight="1">
      <c r="A43" s="168" t="s">
        <v>189</v>
      </c>
      <c r="B43" s="168" t="s">
        <v>131</v>
      </c>
      <c r="C43" s="168" t="s">
        <v>202</v>
      </c>
      <c r="D43" s="168" t="s">
        <v>203</v>
      </c>
      <c r="E43" s="396" t="s">
        <v>204</v>
      </c>
      <c r="F43" s="396"/>
      <c r="G43" s="168" t="s">
        <v>232</v>
      </c>
      <c r="H43" s="168" t="s">
        <v>190</v>
      </c>
    </row>
    <row r="44" spans="1:8" ht="25.5">
      <c r="A44" s="173">
        <v>1</v>
      </c>
      <c r="B44" s="174" t="s">
        <v>248</v>
      </c>
      <c r="C44" s="175">
        <v>3</v>
      </c>
      <c r="D44" s="175">
        <v>12</v>
      </c>
      <c r="E44" s="387">
        <v>22.9</v>
      </c>
      <c r="F44" s="388"/>
      <c r="G44" s="172">
        <f>E44*C44</f>
        <v>68.699999999999989</v>
      </c>
      <c r="H44" s="172">
        <f t="shared" ref="H44:H46" si="5">G44/12</f>
        <v>5.7249999999999988</v>
      </c>
    </row>
    <row r="45" spans="1:8" ht="26.25">
      <c r="A45" s="173">
        <v>2</v>
      </c>
      <c r="B45" s="176" t="s">
        <v>213</v>
      </c>
      <c r="C45" s="175">
        <v>5</v>
      </c>
      <c r="D45" s="175">
        <v>12</v>
      </c>
      <c r="E45" s="387">
        <v>16.899999999999999</v>
      </c>
      <c r="F45" s="388"/>
      <c r="G45" s="172">
        <f>E45*C45</f>
        <v>84.5</v>
      </c>
      <c r="H45" s="172">
        <f t="shared" si="5"/>
        <v>7.041666666666667</v>
      </c>
    </row>
    <row r="46" spans="1:8">
      <c r="A46" s="173">
        <v>3</v>
      </c>
      <c r="B46" s="174" t="s">
        <v>214</v>
      </c>
      <c r="C46" s="175">
        <v>2</v>
      </c>
      <c r="D46" s="175">
        <v>12</v>
      </c>
      <c r="E46" s="387">
        <v>10</v>
      </c>
      <c r="F46" s="388"/>
      <c r="G46" s="172">
        <f>E46*C46</f>
        <v>20</v>
      </c>
      <c r="H46" s="172">
        <f t="shared" si="5"/>
        <v>1.6666666666666667</v>
      </c>
    </row>
    <row r="47" spans="1:8">
      <c r="A47" s="177"/>
      <c r="B47" s="178"/>
      <c r="C47" s="179"/>
      <c r="D47" s="179"/>
      <c r="E47" s="180"/>
      <c r="F47" s="180"/>
      <c r="G47" s="182">
        <f>SUM(G44:G46)</f>
        <v>173.2</v>
      </c>
      <c r="H47" s="182">
        <f>SUM(H44:H46)</f>
        <v>14.433333333333332</v>
      </c>
    </row>
  </sheetData>
  <sheetProtection password="B391" sheet="1" objects="1" scenarios="1"/>
  <mergeCells count="32">
    <mergeCell ref="E45:F45"/>
    <mergeCell ref="E46:F46"/>
    <mergeCell ref="E37:F37"/>
    <mergeCell ref="E38:F38"/>
    <mergeCell ref="A42:G42"/>
    <mergeCell ref="E43:F43"/>
    <mergeCell ref="E44:F44"/>
    <mergeCell ref="E29:F29"/>
    <mergeCell ref="A33:G33"/>
    <mergeCell ref="E34:F34"/>
    <mergeCell ref="E35:F35"/>
    <mergeCell ref="E36:F36"/>
    <mergeCell ref="A17:G17"/>
    <mergeCell ref="A25:G25"/>
    <mergeCell ref="E26:F26"/>
    <mergeCell ref="E27:F27"/>
    <mergeCell ref="E28:F28"/>
    <mergeCell ref="E19:F19"/>
    <mergeCell ref="E20:F20"/>
    <mergeCell ref="E21:F21"/>
    <mergeCell ref="E18:F18"/>
    <mergeCell ref="E10:F10"/>
    <mergeCell ref="E11:F11"/>
    <mergeCell ref="E12:F12"/>
    <mergeCell ref="E13:F13"/>
    <mergeCell ref="E6:F6"/>
    <mergeCell ref="A1:G1"/>
    <mergeCell ref="A9:G9"/>
    <mergeCell ref="E5:F5"/>
    <mergeCell ref="E2:F2"/>
    <mergeCell ref="E3:F3"/>
    <mergeCell ref="E4:F4"/>
  </mergeCells>
  <pageMargins left="0.511811024" right="0.511811024" top="0.78740157499999996" bottom="0.78740157499999996" header="0.31496062000000002" footer="0.31496062000000002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2">
    <pageSetUpPr fitToPage="1"/>
  </sheetPr>
  <dimension ref="A1:O44"/>
  <sheetViews>
    <sheetView tabSelected="1" view="pageBreakPreview" zoomScale="80" zoomScaleNormal="70" zoomScaleSheetLayoutView="80" workbookViewId="0">
      <selection activeCell="C5" sqref="C5:I5"/>
    </sheetView>
  </sheetViews>
  <sheetFormatPr defaultRowHeight="15"/>
  <cols>
    <col min="1" max="1" width="5" bestFit="1" customWidth="1"/>
    <col min="2" max="2" width="28.7109375" customWidth="1"/>
    <col min="3" max="3" width="53.42578125" bestFit="1" customWidth="1"/>
    <col min="4" max="4" width="16.7109375" customWidth="1"/>
    <col min="5" max="5" width="14.140625" bestFit="1" customWidth="1"/>
    <col min="6" max="6" width="29" bestFit="1" customWidth="1"/>
    <col min="7" max="7" width="32.85546875" bestFit="1" customWidth="1"/>
    <col min="8" max="8" width="27" bestFit="1" customWidth="1"/>
    <col min="9" max="9" width="39.85546875" customWidth="1"/>
    <col min="12" max="12" width="33.28515625" customWidth="1"/>
    <col min="13" max="13" width="13.140625" customWidth="1"/>
    <col min="14" max="14" width="14.28515625" customWidth="1"/>
    <col min="15" max="15" width="15.42578125" bestFit="1" customWidth="1"/>
  </cols>
  <sheetData>
    <row r="1" spans="1:15" ht="102.75" customHeight="1" thickBot="1">
      <c r="A1" s="226"/>
      <c r="B1" s="312" t="s">
        <v>292</v>
      </c>
      <c r="C1" s="313"/>
      <c r="D1" s="313"/>
      <c r="E1" s="313"/>
      <c r="F1" s="313"/>
      <c r="G1" s="313"/>
      <c r="H1" s="313"/>
      <c r="I1" s="314"/>
      <c r="J1" s="226"/>
      <c r="L1" s="222"/>
      <c r="M1" s="222"/>
      <c r="N1" s="222"/>
    </row>
    <row r="2" spans="1:15" ht="15.75" thickBot="1">
      <c r="A2" s="226"/>
      <c r="B2" s="226"/>
      <c r="C2" s="226"/>
      <c r="D2" s="226"/>
      <c r="E2" s="226"/>
      <c r="F2" s="226"/>
      <c r="G2" s="226"/>
      <c r="H2" s="226"/>
      <c r="I2" s="226"/>
      <c r="J2" s="226"/>
      <c r="L2" s="223"/>
      <c r="M2" s="223"/>
      <c r="N2" s="223"/>
    </row>
    <row r="3" spans="1:15" ht="15" customHeight="1">
      <c r="A3" s="226"/>
      <c r="B3" s="227" t="s">
        <v>264</v>
      </c>
      <c r="C3" s="228" t="s">
        <v>157</v>
      </c>
      <c r="D3" s="229" t="s">
        <v>266</v>
      </c>
      <c r="E3" s="322" t="s">
        <v>270</v>
      </c>
      <c r="F3" s="322"/>
      <c r="G3" s="229" t="s">
        <v>269</v>
      </c>
      <c r="H3" s="322" t="s">
        <v>271</v>
      </c>
      <c r="I3" s="323"/>
      <c r="J3" s="226"/>
      <c r="L3" s="399" t="s">
        <v>131</v>
      </c>
      <c r="M3" s="399" t="s">
        <v>280</v>
      </c>
      <c r="N3" s="399" t="s">
        <v>281</v>
      </c>
      <c r="O3" s="93"/>
    </row>
    <row r="4" spans="1:15">
      <c r="A4" s="226"/>
      <c r="B4" s="230" t="s">
        <v>265</v>
      </c>
      <c r="C4" s="225" t="s">
        <v>285</v>
      </c>
      <c r="D4" s="231" t="s">
        <v>266</v>
      </c>
      <c r="E4" s="326" t="s">
        <v>286</v>
      </c>
      <c r="F4" s="327"/>
      <c r="G4" s="231" t="s">
        <v>269</v>
      </c>
      <c r="H4" s="324" t="s">
        <v>287</v>
      </c>
      <c r="I4" s="325"/>
      <c r="J4" s="226"/>
      <c r="L4" s="400" t="s">
        <v>283</v>
      </c>
      <c r="M4" s="401">
        <v>6.4999999999999997E-3</v>
      </c>
      <c r="N4" s="402">
        <v>0.03</v>
      </c>
      <c r="O4" s="93"/>
    </row>
    <row r="5" spans="1:15" ht="15.75" thickBot="1">
      <c r="A5" s="226"/>
      <c r="B5" s="232" t="s">
        <v>267</v>
      </c>
      <c r="C5" s="320" t="s">
        <v>268</v>
      </c>
      <c r="D5" s="320"/>
      <c r="E5" s="320"/>
      <c r="F5" s="320"/>
      <c r="G5" s="320"/>
      <c r="H5" s="320"/>
      <c r="I5" s="321"/>
      <c r="J5" s="226"/>
      <c r="L5" s="400" t="s">
        <v>284</v>
      </c>
      <c r="M5" s="401">
        <v>1.6500000000000001E-2</v>
      </c>
      <c r="N5" s="403">
        <v>7.5999999999999998E-2</v>
      </c>
      <c r="O5" s="93"/>
    </row>
    <row r="6" spans="1:15" ht="20.25" customHeight="1" thickBot="1">
      <c r="A6" s="226"/>
      <c r="B6" s="233"/>
      <c r="C6" s="233"/>
      <c r="D6" s="233"/>
      <c r="E6" s="233"/>
      <c r="F6" s="233"/>
      <c r="G6" s="233"/>
      <c r="H6" s="233"/>
      <c r="I6" s="233"/>
      <c r="J6" s="226"/>
      <c r="L6" s="224"/>
      <c r="M6" s="224"/>
      <c r="N6" s="218"/>
      <c r="O6" s="93"/>
    </row>
    <row r="7" spans="1:15" ht="15.75" thickBot="1">
      <c r="A7" s="226"/>
      <c r="B7" s="315" t="s">
        <v>113</v>
      </c>
      <c r="C7" s="316"/>
      <c r="D7" s="316"/>
      <c r="E7" s="316"/>
      <c r="F7" s="316"/>
      <c r="G7" s="316"/>
      <c r="H7" s="316"/>
      <c r="I7" s="317"/>
      <c r="J7" s="226"/>
      <c r="L7" s="217"/>
      <c r="M7" s="217"/>
      <c r="N7" s="217"/>
      <c r="O7" s="93"/>
    </row>
    <row r="8" spans="1:15" ht="15.75" customHeight="1" thickBot="1">
      <c r="A8" s="226"/>
      <c r="B8" s="234"/>
      <c r="C8" s="235"/>
      <c r="D8" s="235"/>
      <c r="E8" s="235"/>
      <c r="F8" s="235"/>
      <c r="G8" s="235"/>
      <c r="H8" s="235"/>
      <c r="I8" s="236"/>
      <c r="J8" s="226"/>
      <c r="M8" s="219"/>
      <c r="N8" s="93"/>
      <c r="O8" s="93"/>
    </row>
    <row r="9" spans="1:15" ht="15.75" thickBot="1">
      <c r="A9" s="300"/>
      <c r="B9" s="237" t="s">
        <v>114</v>
      </c>
      <c r="C9" s="238" t="s">
        <v>115</v>
      </c>
      <c r="D9" s="238" t="s">
        <v>116</v>
      </c>
      <c r="E9" s="239" t="s">
        <v>117</v>
      </c>
      <c r="F9" s="196" t="s">
        <v>118</v>
      </c>
      <c r="G9" s="240" t="s">
        <v>119</v>
      </c>
      <c r="H9" s="240" t="s">
        <v>262</v>
      </c>
      <c r="I9" s="241" t="s">
        <v>263</v>
      </c>
      <c r="J9" s="226"/>
      <c r="L9" s="311"/>
      <c r="M9" s="311"/>
      <c r="N9" s="311"/>
      <c r="O9" s="311"/>
    </row>
    <row r="10" spans="1:15">
      <c r="A10" s="300"/>
      <c r="B10" s="242">
        <v>1</v>
      </c>
      <c r="C10" s="243" t="str">
        <f>'[1]Aux. de Limpeza 20h'!C15</f>
        <v>Auxiliar de Limpeza 44h - 5143</v>
      </c>
      <c r="D10" s="244">
        <v>30</v>
      </c>
      <c r="E10" s="245">
        <v>4</v>
      </c>
      <c r="F10" s="197">
        <f>'AUX.LIMPEZA 30H'!C30</f>
        <v>1158.7884545454544</v>
      </c>
      <c r="G10" s="197">
        <f>'AUX.LIMPEZA 30H'!C113</f>
        <v>2645.4834654524052</v>
      </c>
      <c r="H10" s="198">
        <f>'AUX.LIMPEZA 30H'!C113*E10</f>
        <v>10581.933861809621</v>
      </c>
      <c r="I10" s="199">
        <f>H10*12</f>
        <v>126983.20634171544</v>
      </c>
      <c r="J10" s="226"/>
      <c r="L10" s="220"/>
      <c r="M10" s="221"/>
      <c r="N10" s="220"/>
      <c r="O10" s="221"/>
    </row>
    <row r="11" spans="1:15">
      <c r="A11" s="300"/>
      <c r="B11" s="246">
        <v>2</v>
      </c>
      <c r="C11" s="247" t="s">
        <v>18</v>
      </c>
      <c r="D11" s="248">
        <v>40</v>
      </c>
      <c r="E11" s="249">
        <v>12</v>
      </c>
      <c r="F11" s="200">
        <f>'AUX.LIMPEZA 40H'!C30</f>
        <v>1457.4452727272726</v>
      </c>
      <c r="G11" s="200">
        <f>'AUX.LIMPEZA 40H'!C113</f>
        <v>3228.9296616342963</v>
      </c>
      <c r="H11" s="201">
        <f>'AUX.LIMPEZA 40H'!C113*E11</f>
        <v>38747.155939611555</v>
      </c>
      <c r="I11" s="202">
        <f t="shared" ref="I11:I15" si="0">H11*12</f>
        <v>464965.87127533869</v>
      </c>
      <c r="J11" s="226"/>
      <c r="L11" s="220"/>
      <c r="M11" s="221"/>
      <c r="N11" s="220"/>
      <c r="O11" s="221"/>
    </row>
    <row r="12" spans="1:15">
      <c r="A12" s="300"/>
      <c r="B12" s="246">
        <v>3</v>
      </c>
      <c r="C12" s="247" t="str">
        <f>'[1]Aux. de Manutenção Predial 20h'!C15</f>
        <v>Auxiliar de Manutenção Predial 44h - 5143</v>
      </c>
      <c r="D12" s="248">
        <v>40</v>
      </c>
      <c r="E12" s="249">
        <f>'AUX. MANUT.PREDIAL 40H'!B10</f>
        <v>5</v>
      </c>
      <c r="F12" s="200">
        <f>'AUX. MANUT.PREDIAL 40H'!C22</f>
        <v>1194.6272727272726</v>
      </c>
      <c r="G12" s="200">
        <f>'AUX. MANUT.PREDIAL 40H'!C114</f>
        <v>2815.3281213942328</v>
      </c>
      <c r="H12" s="201">
        <f>'AUX. MANUT.PREDIAL 40H'!C114*E12</f>
        <v>14076.640606971163</v>
      </c>
      <c r="I12" s="202">
        <f t="shared" si="0"/>
        <v>168919.68728365394</v>
      </c>
      <c r="J12" s="226"/>
    </row>
    <row r="13" spans="1:15">
      <c r="A13" s="300"/>
      <c r="B13" s="250">
        <v>4</v>
      </c>
      <c r="C13" s="247" t="str">
        <f>'[1]Merendeiro 40h'!C15</f>
        <v>Merendeiro de Escola 44h - 5132</v>
      </c>
      <c r="D13" s="248">
        <v>40</v>
      </c>
      <c r="E13" s="249">
        <f>'MERENDEIRO 40H'!B10</f>
        <v>4</v>
      </c>
      <c r="F13" s="200">
        <f>'MERENDEIRO 40H'!C30</f>
        <v>1530.2238181818182</v>
      </c>
      <c r="G13" s="200">
        <f>'MERENDEIRO 40H'!C113</f>
        <v>3438.2514085385842</v>
      </c>
      <c r="H13" s="201">
        <f>'MERENDEIRO 40H'!C113*E13</f>
        <v>13753.005634154337</v>
      </c>
      <c r="I13" s="202">
        <f t="shared" si="0"/>
        <v>165036.06760985203</v>
      </c>
      <c r="J13" s="226"/>
    </row>
    <row r="14" spans="1:15">
      <c r="A14" s="300"/>
      <c r="B14" s="251">
        <v>5</v>
      </c>
      <c r="C14" s="247" t="str">
        <f>'[1]Servente de Limpeza 40h'!C15</f>
        <v>Servente de Limpeza 44h - 5143</v>
      </c>
      <c r="D14" s="248">
        <v>40</v>
      </c>
      <c r="E14" s="248">
        <v>6</v>
      </c>
      <c r="F14" s="200">
        <f>'SERVENTE DE LIMPEZA 40H'!C30</f>
        <v>1457.4452727272726</v>
      </c>
      <c r="G14" s="200">
        <f>'SERVENTE DE LIMPEZA 40H'!C114</f>
        <v>3383.0672441211045</v>
      </c>
      <c r="H14" s="201">
        <f>'SERVENTE DE LIMPEZA 40H'!C114*E14</f>
        <v>20298.403464726627</v>
      </c>
      <c r="I14" s="202">
        <f t="shared" si="0"/>
        <v>243580.84157671954</v>
      </c>
      <c r="J14" s="226"/>
    </row>
    <row r="15" spans="1:15" ht="15.75" thickBot="1">
      <c r="A15" s="300"/>
      <c r="B15" s="252">
        <v>6</v>
      </c>
      <c r="C15" s="253" t="str">
        <f>'[1]Recepcionista 36h'!C15</f>
        <v>Recepcionista/Telefonista 44h - 4221-05</v>
      </c>
      <c r="D15" s="254">
        <v>30</v>
      </c>
      <c r="E15" s="254">
        <v>4</v>
      </c>
      <c r="F15" s="203">
        <f>'RECEPCIONISTA-TELEFONISTA 30H'!C30</f>
        <v>1012.9568181818182</v>
      </c>
      <c r="G15" s="203">
        <f>'RECEPCIONISTA-TELEFONISTA 30H'!C113</f>
        <v>2337.5316783642556</v>
      </c>
      <c r="H15" s="204">
        <f>'RECEPCIONISTA-TELEFONISTA 30H'!C113*E15</f>
        <v>9350.1267134570226</v>
      </c>
      <c r="I15" s="202">
        <f t="shared" si="0"/>
        <v>112201.52056148427</v>
      </c>
      <c r="J15" s="226"/>
    </row>
    <row r="16" spans="1:15" ht="15.75" thickBot="1">
      <c r="A16" s="300"/>
      <c r="B16" s="318" t="s">
        <v>120</v>
      </c>
      <c r="C16" s="319"/>
      <c r="D16" s="319"/>
      <c r="E16" s="255">
        <f>SUM(E10:E15)</f>
        <v>35</v>
      </c>
      <c r="F16" s="205" t="s">
        <v>9</v>
      </c>
      <c r="G16" s="206" t="s">
        <v>9</v>
      </c>
      <c r="H16" s="207">
        <f>SUM(H10:H15)</f>
        <v>106807.26622073032</v>
      </c>
      <c r="I16" s="208">
        <f>SUM(I10:I15)</f>
        <v>1281687.1946487641</v>
      </c>
      <c r="J16" s="226"/>
    </row>
    <row r="17" spans="1:15" ht="15.75" thickBot="1">
      <c r="A17" s="300"/>
      <c r="B17" s="256"/>
      <c r="C17" s="257"/>
      <c r="D17" s="257"/>
      <c r="E17" s="257"/>
      <c r="F17" s="257"/>
      <c r="G17" s="257"/>
      <c r="H17" s="257"/>
      <c r="I17" s="258"/>
      <c r="J17" s="226"/>
    </row>
    <row r="18" spans="1:15">
      <c r="A18" s="300"/>
      <c r="B18" s="259" t="s">
        <v>121</v>
      </c>
      <c r="C18" s="260"/>
      <c r="D18" s="261"/>
      <c r="E18" s="233"/>
      <c r="F18" s="233"/>
      <c r="G18" s="233"/>
      <c r="H18" s="233"/>
      <c r="I18" s="258"/>
      <c r="J18" s="226"/>
    </row>
    <row r="19" spans="1:15">
      <c r="A19" s="300"/>
      <c r="B19" s="262" t="s">
        <v>114</v>
      </c>
      <c r="C19" s="263" t="s">
        <v>115</v>
      </c>
      <c r="D19" s="264" t="s">
        <v>88</v>
      </c>
      <c r="E19" s="233"/>
      <c r="F19" s="233"/>
      <c r="G19" s="233"/>
      <c r="H19" s="233"/>
      <c r="I19" s="258"/>
      <c r="J19" s="226"/>
    </row>
    <row r="20" spans="1:15" ht="15.75" thickBot="1">
      <c r="A20" s="300"/>
      <c r="B20" s="265">
        <v>1</v>
      </c>
      <c r="C20" s="266" t="s">
        <v>122</v>
      </c>
      <c r="D20" s="210">
        <v>0.06</v>
      </c>
      <c r="E20" s="233"/>
      <c r="F20" s="233"/>
      <c r="G20" s="233"/>
      <c r="H20" s="267"/>
      <c r="I20" s="258"/>
      <c r="J20" s="226"/>
    </row>
    <row r="21" spans="1:15" ht="15.75" thickBot="1">
      <c r="A21" s="300"/>
      <c r="B21" s="268"/>
      <c r="C21" s="269"/>
      <c r="D21" s="269"/>
      <c r="E21" s="233"/>
      <c r="F21" s="233"/>
      <c r="G21" s="233"/>
      <c r="H21" s="233"/>
      <c r="I21" s="258"/>
      <c r="J21" s="226"/>
    </row>
    <row r="22" spans="1:15" ht="19.5" customHeight="1">
      <c r="A22" s="300"/>
      <c r="B22" s="270" t="s">
        <v>124</v>
      </c>
      <c r="C22" s="271"/>
      <c r="D22" s="272"/>
      <c r="E22" s="233"/>
      <c r="F22" s="233"/>
      <c r="G22" s="233"/>
      <c r="H22" s="233"/>
      <c r="I22" s="258"/>
      <c r="J22" s="226"/>
    </row>
    <row r="23" spans="1:15">
      <c r="A23" s="300"/>
      <c r="B23" s="262" t="s">
        <v>114</v>
      </c>
      <c r="C23" s="263" t="s">
        <v>125</v>
      </c>
      <c r="D23" s="273" t="s">
        <v>88</v>
      </c>
      <c r="E23" s="233"/>
      <c r="F23" s="233"/>
      <c r="G23" s="233"/>
      <c r="H23" s="233"/>
      <c r="I23" s="258"/>
      <c r="J23" s="226"/>
    </row>
    <row r="24" spans="1:15">
      <c r="A24" s="300"/>
      <c r="B24" s="274">
        <v>1</v>
      </c>
      <c r="C24" s="275" t="s">
        <v>126</v>
      </c>
      <c r="D24" s="211">
        <v>0.03</v>
      </c>
      <c r="E24" s="233"/>
      <c r="F24" s="233"/>
      <c r="G24" s="233"/>
      <c r="H24" s="233"/>
      <c r="I24" s="258"/>
      <c r="J24" s="226"/>
    </row>
    <row r="25" spans="1:15" ht="15.75" thickBot="1">
      <c r="A25" s="300"/>
      <c r="B25" s="276">
        <v>2</v>
      </c>
      <c r="C25" s="277" t="s">
        <v>198</v>
      </c>
      <c r="D25" s="212">
        <v>0</v>
      </c>
      <c r="E25" s="233"/>
      <c r="F25" s="233"/>
      <c r="G25" s="233"/>
      <c r="H25" s="233"/>
      <c r="I25" s="258"/>
      <c r="J25" s="226"/>
      <c r="O25" s="80"/>
    </row>
    <row r="26" spans="1:15" ht="15.75" thickBot="1">
      <c r="A26" s="300"/>
      <c r="B26" s="278">
        <v>3</v>
      </c>
      <c r="C26" s="279" t="s">
        <v>127</v>
      </c>
      <c r="D26" s="280">
        <f>SUM(D27:D29)</f>
        <v>6.1499999999999999E-2</v>
      </c>
      <c r="E26" s="233"/>
      <c r="F26" s="233"/>
      <c r="G26" s="233" t="s">
        <v>123</v>
      </c>
      <c r="H26" s="233"/>
      <c r="I26" s="258"/>
      <c r="J26" s="226"/>
    </row>
    <row r="27" spans="1:15" ht="15.75" thickBot="1">
      <c r="A27" s="300"/>
      <c r="B27" s="301"/>
      <c r="C27" s="281" t="s">
        <v>128</v>
      </c>
      <c r="D27" s="397">
        <f>IF(C$32="CUMULATIVA (LUCRO PRESUMIDO)",VLOOKUP(N$4,N$4:N$5,1,0),VLOOKUP(N$5,N$4:N$5,1,0))</f>
        <v>0.03</v>
      </c>
      <c r="E27" s="233"/>
      <c r="F27" s="233"/>
      <c r="G27" s="233"/>
      <c r="H27" s="233"/>
      <c r="I27" s="258"/>
      <c r="J27" s="226"/>
    </row>
    <row r="28" spans="1:15" ht="15.75" thickBot="1">
      <c r="A28" s="300"/>
      <c r="B28" s="302"/>
      <c r="C28" s="282" t="s">
        <v>256</v>
      </c>
      <c r="D28" s="398">
        <f>IF(C$32="CUMULATIVA (LUCRO PRESUMIDO)",VLOOKUP(M$4,M$4:N$5,1,0),VLOOKUP(M$5,M$4:N$5,1,1))</f>
        <v>6.4999999999999997E-3</v>
      </c>
      <c r="E28" s="233"/>
      <c r="F28" s="233"/>
      <c r="G28" s="233"/>
      <c r="H28" s="233"/>
      <c r="I28" s="258"/>
      <c r="J28" s="226"/>
    </row>
    <row r="29" spans="1:15" ht="15.75" thickBot="1">
      <c r="A29" s="300"/>
      <c r="B29" s="303"/>
      <c r="C29" s="281" t="s">
        <v>255</v>
      </c>
      <c r="D29" s="283">
        <v>2.5000000000000001E-2</v>
      </c>
      <c r="E29" s="233"/>
      <c r="F29" s="233"/>
      <c r="G29" s="233"/>
      <c r="H29" s="233"/>
      <c r="I29" s="258"/>
      <c r="J29" s="226"/>
    </row>
    <row r="30" spans="1:15">
      <c r="A30" s="226"/>
      <c r="B30" s="270" t="s">
        <v>282</v>
      </c>
      <c r="C30" s="284"/>
      <c r="D30" s="285"/>
      <c r="E30" s="233"/>
      <c r="F30" s="286"/>
      <c r="G30" s="286"/>
      <c r="H30" s="233"/>
      <c r="I30" s="233"/>
      <c r="J30" s="226"/>
    </row>
    <row r="31" spans="1:15">
      <c r="A31" s="226"/>
      <c r="B31" s="262" t="s">
        <v>114</v>
      </c>
      <c r="C31" s="309" t="s">
        <v>115</v>
      </c>
      <c r="D31" s="310"/>
      <c r="E31" s="233"/>
      <c r="F31" s="233"/>
      <c r="G31" s="233"/>
      <c r="H31" s="233"/>
      <c r="I31" s="233"/>
      <c r="J31" s="226"/>
    </row>
    <row r="32" spans="1:15">
      <c r="A32" s="226"/>
      <c r="B32" s="274">
        <v>1</v>
      </c>
      <c r="C32" s="307" t="s">
        <v>283</v>
      </c>
      <c r="D32" s="308"/>
      <c r="E32" s="233"/>
      <c r="F32" s="233"/>
      <c r="G32" s="233"/>
      <c r="H32" s="233"/>
      <c r="I32" s="233"/>
      <c r="J32" s="226"/>
    </row>
    <row r="33" spans="1:10">
      <c r="A33" s="226"/>
      <c r="B33" s="233"/>
      <c r="C33" s="233"/>
      <c r="D33" s="233"/>
      <c r="E33" s="233"/>
      <c r="F33" s="233"/>
      <c r="G33" s="233"/>
      <c r="H33" s="233"/>
      <c r="I33" s="233"/>
      <c r="J33" s="226"/>
    </row>
    <row r="34" spans="1:10">
      <c r="A34" s="226"/>
      <c r="B34" s="406" t="s">
        <v>294</v>
      </c>
      <c r="C34" s="407"/>
      <c r="D34" s="408"/>
      <c r="E34" s="233"/>
      <c r="F34" s="233"/>
      <c r="G34" s="233"/>
      <c r="H34" s="233"/>
      <c r="I34" s="233"/>
      <c r="J34" s="226"/>
    </row>
    <row r="35" spans="1:10">
      <c r="A35" s="226"/>
      <c r="B35" s="409"/>
      <c r="C35" s="404"/>
      <c r="D35" s="410"/>
      <c r="E35" s="233"/>
      <c r="F35" s="233"/>
      <c r="G35" s="233"/>
      <c r="H35" s="233"/>
      <c r="I35" s="233"/>
      <c r="J35" s="226"/>
    </row>
    <row r="36" spans="1:10">
      <c r="A36" s="226"/>
      <c r="B36" s="409"/>
      <c r="C36" s="404"/>
      <c r="D36" s="410"/>
      <c r="E36" s="233"/>
      <c r="F36" s="233"/>
      <c r="G36" s="233"/>
      <c r="H36" s="233"/>
      <c r="I36" s="233"/>
      <c r="J36" s="226"/>
    </row>
    <row r="37" spans="1:10">
      <c r="A37" s="226"/>
      <c r="B37" s="409"/>
      <c r="C37" s="404"/>
      <c r="D37" s="410"/>
      <c r="E37" s="233"/>
      <c r="F37" s="233"/>
      <c r="G37" s="233"/>
      <c r="H37" s="233"/>
      <c r="I37" s="233"/>
      <c r="J37" s="226"/>
    </row>
    <row r="38" spans="1:10">
      <c r="A38" s="226"/>
      <c r="B38" s="409"/>
      <c r="C38" s="404"/>
      <c r="D38" s="410"/>
      <c r="E38" s="233"/>
      <c r="F38" s="233"/>
      <c r="G38" s="233"/>
      <c r="H38" s="287"/>
      <c r="I38" s="287"/>
      <c r="J38" s="226"/>
    </row>
    <row r="39" spans="1:10">
      <c r="A39" s="226"/>
      <c r="B39" s="409"/>
      <c r="C39" s="404"/>
      <c r="D39" s="410"/>
      <c r="E39" s="226"/>
      <c r="F39" s="226"/>
      <c r="G39" s="226"/>
      <c r="H39" s="288"/>
      <c r="I39" s="288"/>
      <c r="J39" s="226"/>
    </row>
    <row r="40" spans="1:10" ht="34.5" customHeight="1">
      <c r="A40" s="226"/>
      <c r="B40" s="411"/>
      <c r="C40" s="405"/>
      <c r="D40" s="412"/>
      <c r="E40" s="226"/>
      <c r="F40" s="226"/>
      <c r="G40" s="226"/>
      <c r="H40" s="288"/>
      <c r="I40" s="288"/>
      <c r="J40" s="226"/>
    </row>
    <row r="41" spans="1:10">
      <c r="A41" s="226"/>
      <c r="B41" s="288"/>
      <c r="C41" s="288"/>
      <c r="D41" s="226"/>
      <c r="E41" s="226"/>
      <c r="F41" s="226"/>
      <c r="G41" s="226"/>
      <c r="H41" s="288"/>
      <c r="I41" s="288"/>
      <c r="J41" s="226"/>
    </row>
    <row r="42" spans="1:10" ht="33" customHeight="1">
      <c r="A42" s="226"/>
      <c r="B42" s="288"/>
      <c r="C42" s="288"/>
      <c r="D42" s="306"/>
      <c r="E42" s="306"/>
      <c r="F42" s="306"/>
      <c r="G42" s="306"/>
      <c r="H42" s="288"/>
      <c r="I42" s="288"/>
      <c r="J42" s="226"/>
    </row>
    <row r="43" spans="1:10" ht="18">
      <c r="A43" s="226"/>
      <c r="B43" s="288"/>
      <c r="C43" s="288"/>
      <c r="D43" s="304" t="str">
        <f>C4</f>
        <v>Digitar nome da Empresa</v>
      </c>
      <c r="E43" s="304"/>
      <c r="F43" s="304"/>
      <c r="G43" s="304"/>
      <c r="H43" s="288"/>
      <c r="I43" s="288"/>
      <c r="J43" s="226"/>
    </row>
    <row r="44" spans="1:10" ht="18">
      <c r="A44" s="226"/>
      <c r="B44" s="288"/>
      <c r="C44" s="288"/>
      <c r="D44" s="305" t="str">
        <f>E4</f>
        <v>Digitar CNPJ</v>
      </c>
      <c r="E44" s="305"/>
      <c r="F44" s="305"/>
      <c r="G44" s="305"/>
      <c r="H44" s="288"/>
      <c r="I44" s="288"/>
      <c r="J44" s="226"/>
    </row>
  </sheetData>
  <sheetProtection password="B391" sheet="1" objects="1" scenarios="1"/>
  <mergeCells count="18">
    <mergeCell ref="L9:M9"/>
    <mergeCell ref="N9:O9"/>
    <mergeCell ref="B1:I1"/>
    <mergeCell ref="B7:I7"/>
    <mergeCell ref="B16:D16"/>
    <mergeCell ref="C5:I5"/>
    <mergeCell ref="H3:I3"/>
    <mergeCell ref="H4:I4"/>
    <mergeCell ref="E3:F3"/>
    <mergeCell ref="E4:F4"/>
    <mergeCell ref="A9:A29"/>
    <mergeCell ref="B27:B29"/>
    <mergeCell ref="D43:G43"/>
    <mergeCell ref="D44:G44"/>
    <mergeCell ref="D42:G42"/>
    <mergeCell ref="C32:D32"/>
    <mergeCell ref="C31:D31"/>
    <mergeCell ref="B34:D40"/>
  </mergeCells>
  <dataValidations disablePrompts="1" count="4">
    <dataValidation type="decimal" allowBlank="1" showErrorMessage="1" errorTitle="VALOR NÃO PERMITIDO" error="       VALOR NÃO PERMITIDO!_x000a_VERIFICAR ITEM 14.3 DO EDITAL" promptTitle="VALOR NÃO PERMITIDO" prompt="VERIFICAR ITEM 10.3 DO EDITAL" sqref="D24">
      <formula1>0.03</formula1>
      <formula2>0.1</formula2>
    </dataValidation>
    <dataValidation type="decimal" operator="greaterThanOrEqual" allowBlank="1" showInputMessage="1" showErrorMessage="1" errorTitle="VALOR NÃO PERMITIDO!" error="LUCRO NÃO PODE SER MENOR QUE 0%_x000a_VERIFICAR ITEM 14.3 DO EDITAL" sqref="D25">
      <formula1>0</formula1>
    </dataValidation>
    <dataValidation type="decimal" allowBlank="1" showInputMessage="1" showErrorMessage="1" error="VALOR NÃO PERMITIDO!" sqref="D20">
      <formula1>0.005</formula1>
      <formula2>0.06</formula2>
    </dataValidation>
    <dataValidation type="list" allowBlank="1" showInputMessage="1" showErrorMessage="1" sqref="C32:D32">
      <formula1>$L$4:$L$5</formula1>
    </dataValidation>
  </dataValidations>
  <pageMargins left="0.51181102362204722" right="0.51181102362204722" top="0.78740157480314965" bottom="0.78740157480314965" header="0.31496062992125984" footer="0.31496062992125984"/>
  <pageSetup paperSize="9" scale="53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>
    <pageSetUpPr fitToPage="1"/>
  </sheetPr>
  <dimension ref="A1:G121"/>
  <sheetViews>
    <sheetView topLeftCell="A46" zoomScaleNormal="100" workbookViewId="0">
      <selection activeCell="B10" sqref="B10"/>
    </sheetView>
  </sheetViews>
  <sheetFormatPr defaultRowHeight="15"/>
  <cols>
    <col min="1" max="1" width="84.7109375" bestFit="1" customWidth="1"/>
    <col min="2" max="2" width="14.28515625" bestFit="1" customWidth="1"/>
    <col min="3" max="3" width="72.42578125" customWidth="1"/>
    <col min="4" max="4" width="19.85546875" customWidth="1"/>
    <col min="5" max="5" width="12.7109375" bestFit="1" customWidth="1"/>
    <col min="6" max="6" width="12.140625" bestFit="1" customWidth="1"/>
  </cols>
  <sheetData>
    <row r="1" spans="1:3" ht="90" customHeight="1">
      <c r="A1" s="336" t="s">
        <v>293</v>
      </c>
      <c r="B1" s="337"/>
      <c r="C1" s="337"/>
    </row>
    <row r="2" spans="1:3" ht="15.75" thickBot="1">
      <c r="A2" s="338" t="s">
        <v>0</v>
      </c>
      <c r="B2" s="338"/>
      <c r="C2" s="338"/>
    </row>
    <row r="3" spans="1:3" ht="15.75" thickBot="1">
      <c r="A3" s="1"/>
      <c r="B3" s="1"/>
      <c r="C3" s="1"/>
    </row>
    <row r="4" spans="1:3">
      <c r="A4" s="127" t="s">
        <v>1</v>
      </c>
      <c r="B4" s="122"/>
      <c r="C4" s="130" t="str">
        <f>'RESUMO FINAL '!C32:D32</f>
        <v>CUMULATIVA (LUCRO PRESUMIDO)</v>
      </c>
    </row>
    <row r="5" spans="1:3">
      <c r="A5" s="2" t="s">
        <v>3</v>
      </c>
      <c r="B5" s="3" t="s">
        <v>4</v>
      </c>
      <c r="C5" s="3" t="s">
        <v>5</v>
      </c>
    </row>
    <row r="6" spans="1:3">
      <c r="A6" s="4" t="s">
        <v>6</v>
      </c>
      <c r="B6" s="5"/>
      <c r="C6" s="6"/>
    </row>
    <row r="7" spans="1:3">
      <c r="A7" s="7" t="s">
        <v>7</v>
      </c>
      <c r="B7" s="124">
        <v>8</v>
      </c>
      <c r="C7" s="8" t="s">
        <v>109</v>
      </c>
    </row>
    <row r="8" spans="1:3" ht="25.5">
      <c r="A8" s="9" t="s">
        <v>8</v>
      </c>
      <c r="B8" s="125" t="s">
        <v>9</v>
      </c>
      <c r="C8" s="10" t="s">
        <v>10</v>
      </c>
    </row>
    <row r="9" spans="1:3">
      <c r="A9" s="7" t="s">
        <v>11</v>
      </c>
      <c r="B9" s="126">
        <v>200</v>
      </c>
      <c r="C9" s="8" t="s">
        <v>112</v>
      </c>
    </row>
    <row r="10" spans="1:3">
      <c r="A10" s="7" t="s">
        <v>12</v>
      </c>
      <c r="B10" s="126">
        <v>5</v>
      </c>
      <c r="C10" s="94" t="s">
        <v>13</v>
      </c>
    </row>
    <row r="11" spans="1:3">
      <c r="A11" s="7" t="s">
        <v>14</v>
      </c>
      <c r="B11" s="126">
        <v>5</v>
      </c>
      <c r="C11" s="94" t="s">
        <v>13</v>
      </c>
    </row>
    <row r="12" spans="1:3">
      <c r="A12" s="339"/>
      <c r="B12" s="339"/>
      <c r="C12" s="339"/>
    </row>
    <row r="13" spans="1:3">
      <c r="A13" s="11" t="s">
        <v>15</v>
      </c>
      <c r="B13" s="12"/>
      <c r="C13" s="13"/>
    </row>
    <row r="14" spans="1:3">
      <c r="A14" s="14" t="s">
        <v>16</v>
      </c>
      <c r="B14" s="128"/>
      <c r="C14" s="129">
        <v>1314.09</v>
      </c>
    </row>
    <row r="15" spans="1:3">
      <c r="A15" s="14" t="s">
        <v>17</v>
      </c>
      <c r="B15" s="15"/>
      <c r="C15" s="8" t="s">
        <v>106</v>
      </c>
    </row>
    <row r="16" spans="1:3">
      <c r="A16" s="14" t="s">
        <v>19</v>
      </c>
      <c r="B16" s="15"/>
      <c r="C16" s="8" t="s">
        <v>191</v>
      </c>
    </row>
    <row r="17" spans="1:3">
      <c r="A17" s="14" t="s">
        <v>21</v>
      </c>
      <c r="B17" s="15"/>
      <c r="C17" s="16">
        <v>44562</v>
      </c>
    </row>
    <row r="18" spans="1:3">
      <c r="A18" s="14" t="s">
        <v>22</v>
      </c>
      <c r="B18" s="17"/>
      <c r="C18" s="18" t="s">
        <v>23</v>
      </c>
    </row>
    <row r="19" spans="1:3">
      <c r="A19" s="7"/>
      <c r="B19" s="19"/>
      <c r="C19" s="6"/>
    </row>
    <row r="20" spans="1:3">
      <c r="A20" s="20" t="s">
        <v>24</v>
      </c>
      <c r="B20" s="21" t="s">
        <v>25</v>
      </c>
      <c r="C20" s="22" t="s">
        <v>26</v>
      </c>
    </row>
    <row r="21" spans="1:3">
      <c r="A21" s="23" t="s">
        <v>27</v>
      </c>
      <c r="B21" s="24"/>
      <c r="C21" s="25"/>
    </row>
    <row r="22" spans="1:3">
      <c r="A22" s="26" t="s">
        <v>28</v>
      </c>
      <c r="B22" s="27">
        <f>B9</f>
        <v>200</v>
      </c>
      <c r="C22" s="25">
        <f>C14/220*B22</f>
        <v>1194.6272727272726</v>
      </c>
    </row>
    <row r="23" spans="1:3">
      <c r="A23" s="26" t="s">
        <v>29</v>
      </c>
      <c r="B23" s="27">
        <v>0</v>
      </c>
      <c r="C23" s="25">
        <f>C21*B23%</f>
        <v>0</v>
      </c>
    </row>
    <row r="24" spans="1:3">
      <c r="A24" s="26" t="s">
        <v>30</v>
      </c>
      <c r="B24" s="27">
        <v>0</v>
      </c>
      <c r="C24" s="25">
        <f>C22*B24%</f>
        <v>0</v>
      </c>
    </row>
    <row r="25" spans="1:3">
      <c r="A25" s="26" t="s">
        <v>31</v>
      </c>
      <c r="B25" s="27">
        <v>0</v>
      </c>
      <c r="C25" s="25">
        <f>(((C22+C23+C24)/B22)*0.2)*B25</f>
        <v>0</v>
      </c>
    </row>
    <row r="26" spans="1:3">
      <c r="A26" s="28" t="s">
        <v>32</v>
      </c>
      <c r="B26" s="27">
        <v>0</v>
      </c>
      <c r="C26" s="25">
        <f>((((C22+C23+C24)/B22)*1.5)*B26)+((B26/30*4)*(C22+C23+C24)/B22)*1.5</f>
        <v>0</v>
      </c>
    </row>
    <row r="27" spans="1:3">
      <c r="A27" s="28" t="s">
        <v>33</v>
      </c>
      <c r="B27" s="27">
        <v>0</v>
      </c>
      <c r="C27" s="25">
        <f>(((C22+C23+C24)/B22)*2)*B27+((B27/30*4)*(C22+C23+C24)/B22)*2</f>
        <v>0</v>
      </c>
    </row>
    <row r="28" spans="1:3">
      <c r="A28" s="28" t="s">
        <v>34</v>
      </c>
      <c r="B28" s="27">
        <v>0</v>
      </c>
      <c r="C28" s="25">
        <v>0</v>
      </c>
    </row>
    <row r="29" spans="1:3">
      <c r="A29" s="28" t="s">
        <v>35</v>
      </c>
      <c r="B29" s="29">
        <f>B28*20%</f>
        <v>0</v>
      </c>
      <c r="C29" s="30">
        <v>0</v>
      </c>
    </row>
    <row r="30" spans="1:3">
      <c r="A30" s="56" t="s">
        <v>36</v>
      </c>
      <c r="B30" s="57"/>
      <c r="C30" s="136">
        <f>SUM(C22:C29)</f>
        <v>1194.6272727272726</v>
      </c>
    </row>
    <row r="31" spans="1:3">
      <c r="A31" s="34"/>
      <c r="B31" s="35"/>
      <c r="C31" s="25"/>
    </row>
    <row r="32" spans="1:3">
      <c r="A32" s="23" t="s">
        <v>37</v>
      </c>
      <c r="B32" s="24"/>
      <c r="C32" s="25"/>
    </row>
    <row r="33" spans="1:3">
      <c r="A33" s="26" t="s">
        <v>38</v>
      </c>
      <c r="B33" s="24"/>
      <c r="C33" s="13"/>
    </row>
    <row r="34" spans="1:3">
      <c r="A34" s="14" t="s">
        <v>39</v>
      </c>
      <c r="B34" s="35">
        <v>0.2</v>
      </c>
      <c r="C34" s="36">
        <f>(C30*B34)</f>
        <v>238.92545454545453</v>
      </c>
    </row>
    <row r="35" spans="1:3">
      <c r="A35" s="14" t="s">
        <v>40</v>
      </c>
      <c r="B35" s="35">
        <v>1.4999999999999999E-2</v>
      </c>
      <c r="C35" s="36">
        <f>(C30*B35)</f>
        <v>17.919409090909088</v>
      </c>
    </row>
    <row r="36" spans="1:3">
      <c r="A36" s="14" t="s">
        <v>41</v>
      </c>
      <c r="B36" s="35">
        <v>0.01</v>
      </c>
      <c r="C36" s="36">
        <f>(C30*B36)</f>
        <v>11.946272727272726</v>
      </c>
    </row>
    <row r="37" spans="1:3">
      <c r="A37" s="14" t="s">
        <v>42</v>
      </c>
      <c r="B37" s="35">
        <v>2E-3</v>
      </c>
      <c r="C37" s="36">
        <f>(C30*B37)</f>
        <v>2.3892545454545453</v>
      </c>
    </row>
    <row r="38" spans="1:3">
      <c r="A38" s="14" t="s">
        <v>43</v>
      </c>
      <c r="B38" s="35">
        <v>2.5000000000000001E-2</v>
      </c>
      <c r="C38" s="36">
        <f>(C30*B38)</f>
        <v>29.865681818181816</v>
      </c>
    </row>
    <row r="39" spans="1:3">
      <c r="A39" s="14" t="s">
        <v>44</v>
      </c>
      <c r="B39" s="35">
        <v>0.08</v>
      </c>
      <c r="C39" s="36">
        <f>(C30*B39)</f>
        <v>95.570181818181808</v>
      </c>
    </row>
    <row r="40" spans="1:3">
      <c r="A40" s="52" t="s">
        <v>45</v>
      </c>
      <c r="B40" s="53">
        <f>'RESUMO FINAL '!D20</f>
        <v>0.06</v>
      </c>
      <c r="C40" s="90">
        <f>(C30*B40)</f>
        <v>71.677636363636353</v>
      </c>
    </row>
    <row r="41" spans="1:3">
      <c r="A41" s="37" t="s">
        <v>46</v>
      </c>
      <c r="B41" s="38">
        <v>6.0000000000000001E-3</v>
      </c>
      <c r="C41" s="36">
        <f>(C30*B41)</f>
        <v>7.1677636363636354</v>
      </c>
    </row>
    <row r="42" spans="1:3">
      <c r="A42" s="34" t="s">
        <v>47</v>
      </c>
      <c r="B42" s="39">
        <f>SUM(B34:B41)</f>
        <v>0.39800000000000008</v>
      </c>
      <c r="C42" s="40">
        <f>TRUNC(SUM(C34:C41),2)</f>
        <v>475.46</v>
      </c>
    </row>
    <row r="43" spans="1:3">
      <c r="A43" s="34"/>
      <c r="B43" s="39"/>
      <c r="C43" s="40"/>
    </row>
    <row r="44" spans="1:3">
      <c r="A44" s="23" t="s">
        <v>48</v>
      </c>
      <c r="B44" s="39"/>
      <c r="C44" s="40"/>
    </row>
    <row r="45" spans="1:3">
      <c r="A45" s="26" t="s">
        <v>38</v>
      </c>
      <c r="B45" s="39"/>
      <c r="C45" s="40"/>
    </row>
    <row r="46" spans="1:3">
      <c r="A46" s="34" t="s">
        <v>49</v>
      </c>
      <c r="B46" s="24"/>
      <c r="C46" s="25"/>
    </row>
    <row r="47" spans="1:3">
      <c r="A47" s="41" t="s">
        <v>50</v>
      </c>
      <c r="B47" s="42">
        <v>8.3299999999999999E-2</v>
      </c>
      <c r="C47" s="36">
        <f>(C30*B47)</f>
        <v>99.512451818181802</v>
      </c>
    </row>
    <row r="48" spans="1:3">
      <c r="A48" s="41" t="s">
        <v>51</v>
      </c>
      <c r="B48" s="42">
        <v>8.3299999999999999E-2</v>
      </c>
      <c r="C48" s="36">
        <f>(C30*B48)</f>
        <v>99.512451818181802</v>
      </c>
    </row>
    <row r="49" spans="1:7">
      <c r="A49" s="14" t="s">
        <v>52</v>
      </c>
      <c r="B49" s="35">
        <v>2.7799999999999998E-2</v>
      </c>
      <c r="C49" s="36">
        <f>(C30*B49)</f>
        <v>33.210638181818176</v>
      </c>
    </row>
    <row r="50" spans="1:7">
      <c r="A50" s="14" t="s">
        <v>53</v>
      </c>
      <c r="B50" s="39">
        <f>SUM(B47:B49)</f>
        <v>0.19439999999999999</v>
      </c>
      <c r="C50" s="104">
        <f>(C30*B50)</f>
        <v>232.23554181818179</v>
      </c>
      <c r="F50" s="96"/>
      <c r="G50" s="95"/>
    </row>
    <row r="51" spans="1:7">
      <c r="A51" s="14" t="s">
        <v>261</v>
      </c>
      <c r="B51" s="100">
        <f>(B42*B50)</f>
        <v>7.7371200000000015E-2</v>
      </c>
      <c r="C51" s="102">
        <f>(C30*B51)</f>
        <v>92.429745643636366</v>
      </c>
      <c r="D51" s="98"/>
      <c r="E51" s="93"/>
      <c r="F51" s="99"/>
      <c r="G51" s="93"/>
    </row>
    <row r="52" spans="1:7">
      <c r="A52" s="14" t="s">
        <v>55</v>
      </c>
      <c r="B52" s="101">
        <f>B50+B51</f>
        <v>0.27177119999999999</v>
      </c>
      <c r="C52" s="103">
        <f>(C30*B52)</f>
        <v>324.66528746181814</v>
      </c>
      <c r="D52" s="93"/>
      <c r="E52" s="98"/>
      <c r="F52" s="93"/>
      <c r="G52" s="93"/>
    </row>
    <row r="53" spans="1:7">
      <c r="A53" s="14"/>
      <c r="B53" s="35"/>
      <c r="C53" s="43"/>
      <c r="F53" s="97"/>
    </row>
    <row r="54" spans="1:7">
      <c r="A54" s="34" t="s">
        <v>56</v>
      </c>
      <c r="B54" s="35"/>
      <c r="C54" s="43"/>
      <c r="G54" s="96"/>
    </row>
    <row r="55" spans="1:7">
      <c r="A55" s="14" t="s">
        <v>57</v>
      </c>
      <c r="B55" s="35">
        <v>4.1999999999999997E-3</v>
      </c>
      <c r="C55" s="36">
        <f>(C30*B55)</f>
        <v>5.0174345454545444</v>
      </c>
    </row>
    <row r="56" spans="1:7">
      <c r="A56" s="44" t="s">
        <v>58</v>
      </c>
      <c r="B56" s="45">
        <v>2.9999999999999997E-4</v>
      </c>
      <c r="C56" s="36">
        <f>(C30*B56)</f>
        <v>0.35838818181818177</v>
      </c>
    </row>
    <row r="57" spans="1:7">
      <c r="A57" s="14" t="s">
        <v>59</v>
      </c>
      <c r="B57" s="35">
        <v>1E-4</v>
      </c>
      <c r="C57" s="36">
        <f>(C30*B57)</f>
        <v>0.11946272727272726</v>
      </c>
    </row>
    <row r="58" spans="1:7">
      <c r="A58" s="37" t="s">
        <v>60</v>
      </c>
      <c r="B58" s="38">
        <v>1.9800000000000002E-2</v>
      </c>
      <c r="C58" s="36">
        <f>(C30*B58)</f>
        <v>23.65362</v>
      </c>
    </row>
    <row r="59" spans="1:7">
      <c r="A59" s="37" t="s">
        <v>61</v>
      </c>
      <c r="B59" s="38">
        <f>(B42*B58)</f>
        <v>7.8804000000000027E-3</v>
      </c>
      <c r="C59" s="36">
        <f>(C30*B59)</f>
        <v>9.4141407600000022</v>
      </c>
    </row>
    <row r="60" spans="1:7">
      <c r="A60" s="37" t="s">
        <v>62</v>
      </c>
      <c r="B60" s="38">
        <f>(B58*8%*40%)</f>
        <v>6.3360000000000011E-4</v>
      </c>
      <c r="C60" s="36">
        <f>(C30*B60)</f>
        <v>0.75691584000000012</v>
      </c>
    </row>
    <row r="61" spans="1:7">
      <c r="A61" s="37" t="s">
        <v>63</v>
      </c>
      <c r="B61" s="38">
        <v>0.04</v>
      </c>
      <c r="C61" s="36">
        <f>(C30*B61)</f>
        <v>47.785090909090904</v>
      </c>
    </row>
    <row r="62" spans="1:7">
      <c r="A62" s="37"/>
      <c r="B62" s="32">
        <f>SUM(B55:B61)</f>
        <v>7.2914000000000007E-2</v>
      </c>
      <c r="C62" s="46">
        <f>(B62*C30)</f>
        <v>87.105052963636368</v>
      </c>
    </row>
    <row r="63" spans="1:7">
      <c r="A63" s="34"/>
      <c r="B63" s="39"/>
      <c r="C63" s="47"/>
    </row>
    <row r="64" spans="1:7">
      <c r="A64" s="34"/>
      <c r="B64" s="39"/>
      <c r="C64" s="25"/>
      <c r="E64" s="80"/>
    </row>
    <row r="65" spans="1:5">
      <c r="A65" s="48" t="s">
        <v>64</v>
      </c>
      <c r="B65" s="49"/>
      <c r="C65" s="25"/>
    </row>
    <row r="66" spans="1:5">
      <c r="A66" s="50" t="s">
        <v>65</v>
      </c>
      <c r="B66" s="51">
        <v>1.38E-2</v>
      </c>
      <c r="C66" s="36">
        <f>(C30*B66)</f>
        <v>16.485856363636362</v>
      </c>
    </row>
    <row r="67" spans="1:5">
      <c r="A67" s="50" t="s">
        <v>66</v>
      </c>
      <c r="B67" s="51">
        <v>1.66E-2</v>
      </c>
      <c r="C67" s="36">
        <f>(C30*B67)</f>
        <v>19.830812727272725</v>
      </c>
    </row>
    <row r="68" spans="1:5">
      <c r="A68" s="50" t="s">
        <v>67</v>
      </c>
      <c r="B68" s="51">
        <v>2.0000000000000001E-4</v>
      </c>
      <c r="C68" s="36">
        <f>(C30*B68)</f>
        <v>0.23892545454545452</v>
      </c>
    </row>
    <row r="69" spans="1:5">
      <c r="A69" s="50" t="s">
        <v>68</v>
      </c>
      <c r="B69" s="51">
        <v>2.8E-3</v>
      </c>
      <c r="C69" s="36">
        <f>(C30*B69)</f>
        <v>3.3449563636363631</v>
      </c>
    </row>
    <row r="70" spans="1:5">
      <c r="A70" s="52" t="s">
        <v>69</v>
      </c>
      <c r="B70" s="53">
        <v>2.9999999999999997E-4</v>
      </c>
      <c r="C70" s="36">
        <f>(C30*B70)</f>
        <v>0.35838818181818177</v>
      </c>
    </row>
    <row r="71" spans="1:5">
      <c r="A71" s="52" t="s">
        <v>70</v>
      </c>
      <c r="B71" s="53">
        <v>6.9999999999999999E-4</v>
      </c>
      <c r="C71" s="36">
        <f>(C30*B71)</f>
        <v>0.83623909090909077</v>
      </c>
    </row>
    <row r="72" spans="1:5">
      <c r="A72" s="54" t="s">
        <v>71</v>
      </c>
      <c r="B72" s="55">
        <v>1.2699999999999999E-2</v>
      </c>
      <c r="C72" s="36">
        <f>(C30*B72)</f>
        <v>15.171766363636362</v>
      </c>
    </row>
    <row r="73" spans="1:5">
      <c r="A73" s="56" t="s">
        <v>72</v>
      </c>
      <c r="B73" s="57">
        <f>SUM(B66:B72)</f>
        <v>4.7100000000000003E-2</v>
      </c>
      <c r="C73" s="40">
        <f>(C30*B73)</f>
        <v>56.266944545454542</v>
      </c>
    </row>
    <row r="74" spans="1:5">
      <c r="A74" s="31"/>
      <c r="B74" s="32"/>
      <c r="C74" s="30"/>
    </row>
    <row r="75" spans="1:5">
      <c r="A75" s="58"/>
      <c r="B75" s="59"/>
      <c r="C75" s="36"/>
    </row>
    <row r="76" spans="1:5">
      <c r="A76" s="48" t="s">
        <v>73</v>
      </c>
      <c r="B76" s="60">
        <f>B42+B52+B62+B73</f>
        <v>0.78978520000000008</v>
      </c>
      <c r="C76" s="47">
        <f>(C42+C52+C62+C73)</f>
        <v>943.49728497090894</v>
      </c>
    </row>
    <row r="77" spans="1:5">
      <c r="A77" s="61"/>
      <c r="B77" s="62"/>
      <c r="C77" s="63"/>
    </row>
    <row r="78" spans="1:5">
      <c r="A78" s="61" t="s">
        <v>74</v>
      </c>
      <c r="B78" s="137">
        <f>B76+B42</f>
        <v>1.1877852000000002</v>
      </c>
      <c r="C78" s="138">
        <f>C30+C73+C42+C52+C62</f>
        <v>2138.1245576981819</v>
      </c>
      <c r="E78" s="80"/>
    </row>
    <row r="79" spans="1:5">
      <c r="A79" s="340"/>
      <c r="B79" s="340"/>
      <c r="C79" s="340"/>
    </row>
    <row r="80" spans="1:5">
      <c r="A80" s="2" t="s">
        <v>75</v>
      </c>
      <c r="B80" s="21" t="str">
        <f>B20</f>
        <v>Vlr / % / Hs</v>
      </c>
      <c r="C80" s="22" t="str">
        <f>C20</f>
        <v>POR COLABORADOR</v>
      </c>
    </row>
    <row r="81" spans="1:3">
      <c r="A81" s="44" t="s">
        <v>76</v>
      </c>
      <c r="B81" s="64">
        <v>0</v>
      </c>
      <c r="C81" s="25">
        <f>(B81*30)</f>
        <v>0</v>
      </c>
    </row>
    <row r="82" spans="1:3">
      <c r="A82" s="26" t="s">
        <v>77</v>
      </c>
      <c r="B82" s="45">
        <v>0</v>
      </c>
      <c r="C82" s="25">
        <f>-(B82*C22)</f>
        <v>0</v>
      </c>
    </row>
    <row r="83" spans="1:3">
      <c r="A83" s="14" t="s">
        <v>78</v>
      </c>
      <c r="B83" s="64">
        <v>20.18</v>
      </c>
      <c r="C83" s="25">
        <f>(B83*20)</f>
        <v>403.6</v>
      </c>
    </row>
    <row r="84" spans="1:3">
      <c r="A84" s="14" t="s">
        <v>79</v>
      </c>
      <c r="B84" s="75">
        <v>0.19</v>
      </c>
      <c r="C84" s="76">
        <f>B84*C83</f>
        <v>76.684000000000012</v>
      </c>
    </row>
    <row r="85" spans="1:3">
      <c r="A85" s="34" t="s">
        <v>80</v>
      </c>
      <c r="B85" s="65" t="s">
        <v>9</v>
      </c>
      <c r="C85" s="47">
        <f>C83-C84</f>
        <v>326.916</v>
      </c>
    </row>
    <row r="86" spans="1:3">
      <c r="A86" s="340"/>
      <c r="B86" s="340"/>
      <c r="C86" s="340"/>
    </row>
    <row r="87" spans="1:3">
      <c r="A87" s="2" t="s">
        <v>252</v>
      </c>
      <c r="B87" s="21" t="str">
        <f>B80</f>
        <v>Vlr / % / Hs</v>
      </c>
      <c r="C87" s="22" t="str">
        <f>C20</f>
        <v>POR COLABORADOR</v>
      </c>
    </row>
    <row r="88" spans="1:3">
      <c r="A88" s="44" t="s">
        <v>257</v>
      </c>
      <c r="B88" s="81" t="s">
        <v>242</v>
      </c>
      <c r="C88" s="25">
        <f>UNIFORMES!H7</f>
        <v>62.868333333333325</v>
      </c>
    </row>
    <row r="89" spans="1:3">
      <c r="A89" s="44" t="s">
        <v>82</v>
      </c>
      <c r="B89" s="81" t="s">
        <v>242</v>
      </c>
      <c r="C89" s="25">
        <f>EPI´S!H9</f>
        <v>19.075833333333332</v>
      </c>
    </row>
    <row r="90" spans="1:3">
      <c r="A90" s="26" t="s">
        <v>83</v>
      </c>
      <c r="B90" s="53" t="s">
        <v>9</v>
      </c>
      <c r="C90" s="25">
        <v>0</v>
      </c>
    </row>
    <row r="91" spans="1:3">
      <c r="A91" s="14" t="s">
        <v>84</v>
      </c>
      <c r="B91" s="53" t="s">
        <v>9</v>
      </c>
      <c r="C91" s="25">
        <v>0</v>
      </c>
    </row>
    <row r="92" spans="1:3">
      <c r="A92" s="28" t="s">
        <v>85</v>
      </c>
      <c r="B92" s="55" t="s">
        <v>9</v>
      </c>
      <c r="C92" s="30">
        <v>17.32</v>
      </c>
    </row>
    <row r="93" spans="1:3">
      <c r="A93" s="34" t="s">
        <v>86</v>
      </c>
      <c r="B93" s="82"/>
      <c r="C93" s="47">
        <f>SUM(C88:C92)</f>
        <v>99.264166666666654</v>
      </c>
    </row>
    <row r="94" spans="1:3">
      <c r="A94" s="341"/>
      <c r="B94" s="342"/>
      <c r="C94" s="343"/>
    </row>
    <row r="95" spans="1:3">
      <c r="A95" s="66" t="s">
        <v>194</v>
      </c>
      <c r="B95" s="21" t="s">
        <v>88</v>
      </c>
      <c r="C95" s="22" t="str">
        <f>C87</f>
        <v>POR COLABORADOR</v>
      </c>
    </row>
    <row r="96" spans="1:3">
      <c r="A96" s="14" t="s">
        <v>195</v>
      </c>
      <c r="B96" s="83">
        <f>'RESUMO FINAL '!D24</f>
        <v>0.03</v>
      </c>
      <c r="C96" s="67">
        <f>(C78*B96)</f>
        <v>64.143736730945449</v>
      </c>
    </row>
    <row r="97" spans="1:5" ht="15.75" customHeight="1">
      <c r="A97" s="14" t="s">
        <v>90</v>
      </c>
      <c r="B97" s="85">
        <f>'RESUMO FINAL '!D25</f>
        <v>0</v>
      </c>
      <c r="C97" s="67">
        <f>(C78*B97)</f>
        <v>0</v>
      </c>
      <c r="D97" s="77"/>
      <c r="E97" s="80"/>
    </row>
    <row r="98" spans="1:5">
      <c r="A98" s="34" t="s">
        <v>91</v>
      </c>
      <c r="B98" s="79">
        <f>B96+B97</f>
        <v>0.03</v>
      </c>
      <c r="C98" s="47">
        <f>SUM(C96:C97)</f>
        <v>64.143736730945449</v>
      </c>
    </row>
    <row r="99" spans="1:5">
      <c r="A99" s="68"/>
      <c r="B99" s="344"/>
      <c r="C99" s="344"/>
    </row>
    <row r="100" spans="1:5">
      <c r="A100" s="69" t="s">
        <v>193</v>
      </c>
      <c r="B100" s="21" t="s">
        <v>88</v>
      </c>
      <c r="C100" s="22" t="str">
        <f>C95</f>
        <v>POR COLABORADOR</v>
      </c>
    </row>
    <row r="101" spans="1:5">
      <c r="A101" s="14" t="s">
        <v>93</v>
      </c>
      <c r="B101" s="51">
        <f>'RESUMO FINAL '!D28</f>
        <v>6.4999999999999997E-3</v>
      </c>
      <c r="C101" s="70">
        <f>(C78*B101)</f>
        <v>13.897809625038182</v>
      </c>
    </row>
    <row r="102" spans="1:5">
      <c r="A102" s="26" t="s">
        <v>94</v>
      </c>
      <c r="B102" s="51">
        <f>'RESUMO FINAL '!D27</f>
        <v>0.03</v>
      </c>
      <c r="C102" s="70">
        <f>(C78*B102)</f>
        <v>64.143736730945449</v>
      </c>
    </row>
    <row r="103" spans="1:5">
      <c r="A103" s="26" t="s">
        <v>95</v>
      </c>
      <c r="B103" s="78">
        <v>2.5000000000000001E-2</v>
      </c>
      <c r="C103" s="70">
        <f>(C78*B103)</f>
        <v>53.45311394245455</v>
      </c>
    </row>
    <row r="104" spans="1:5">
      <c r="A104" s="71" t="s">
        <v>96</v>
      </c>
      <c r="B104" s="60">
        <f>SUM(B101:B103)</f>
        <v>6.1499999999999999E-2</v>
      </c>
      <c r="C104" s="72">
        <f>SUM(C101:C103)</f>
        <v>131.49466029843819</v>
      </c>
    </row>
    <row r="105" spans="1:5">
      <c r="A105" s="328"/>
      <c r="B105" s="329"/>
      <c r="C105" s="330"/>
    </row>
    <row r="106" spans="1:5">
      <c r="A106" s="216" t="s">
        <v>97</v>
      </c>
      <c r="B106" s="133" t="str">
        <f>B87</f>
        <v>Vlr / % / Hs</v>
      </c>
      <c r="C106" s="134" t="str">
        <f>C100</f>
        <v>POR COLABORADOR</v>
      </c>
    </row>
    <row r="107" spans="1:5">
      <c r="A107" s="215" t="s">
        <v>98</v>
      </c>
      <c r="B107" s="105"/>
      <c r="C107" s="115">
        <f>C78</f>
        <v>2138.1245576981819</v>
      </c>
    </row>
    <row r="108" spans="1:5">
      <c r="A108" s="23" t="s">
        <v>99</v>
      </c>
      <c r="B108" s="53"/>
      <c r="C108" s="115">
        <f>C85</f>
        <v>326.916</v>
      </c>
    </row>
    <row r="109" spans="1:5">
      <c r="A109" s="23" t="s">
        <v>100</v>
      </c>
      <c r="B109" s="53"/>
      <c r="C109" s="115">
        <f>C93</f>
        <v>99.264166666666654</v>
      </c>
    </row>
    <row r="110" spans="1:5">
      <c r="A110" s="23" t="s">
        <v>101</v>
      </c>
      <c r="B110" s="53"/>
      <c r="C110" s="115">
        <f>C98</f>
        <v>64.143736730945449</v>
      </c>
    </row>
    <row r="111" spans="1:5">
      <c r="A111" s="23" t="s">
        <v>253</v>
      </c>
      <c r="B111" s="53"/>
      <c r="C111" s="115">
        <f>'EQUIPAMENTO MANUTENÇÃO PREDIAL '!E45</f>
        <v>55.384999999999998</v>
      </c>
    </row>
    <row r="112" spans="1:5">
      <c r="A112" s="23" t="s">
        <v>254</v>
      </c>
      <c r="B112" s="53"/>
      <c r="C112" s="115">
        <f>C104</f>
        <v>131.49466029843819</v>
      </c>
    </row>
    <row r="113" spans="1:3">
      <c r="A113" s="331"/>
      <c r="B113" s="332"/>
      <c r="C113" s="333"/>
    </row>
    <row r="114" spans="1:3">
      <c r="A114" s="334" t="s">
        <v>103</v>
      </c>
      <c r="B114" s="335"/>
      <c r="C114" s="108">
        <f>SUM(C107:C112)</f>
        <v>2815.3281213942328</v>
      </c>
    </row>
    <row r="115" spans="1:3" ht="15.75" thickBot="1">
      <c r="A115" s="116"/>
      <c r="B115" s="91"/>
      <c r="C115" s="91"/>
    </row>
    <row r="116" spans="1:3" ht="15.75" thickBot="1">
      <c r="A116" s="117" t="s">
        <v>104</v>
      </c>
      <c r="B116" s="118"/>
      <c r="C116" s="92" t="str">
        <f>C106</f>
        <v>POR COLABORADOR</v>
      </c>
    </row>
    <row r="117" spans="1:3" ht="15.75" thickBot="1">
      <c r="A117" s="119" t="s">
        <v>105</v>
      </c>
      <c r="B117" s="120">
        <v>12</v>
      </c>
      <c r="C117" s="121">
        <f>C114*B117</f>
        <v>33783.937456730797</v>
      </c>
    </row>
    <row r="120" spans="1:3">
      <c r="A120" t="s">
        <v>258</v>
      </c>
    </row>
    <row r="121" spans="1:3">
      <c r="A121" t="s">
        <v>259</v>
      </c>
    </row>
  </sheetData>
  <sheetProtection password="B391" sheet="1" objects="1" scenarios="1"/>
  <mergeCells count="10">
    <mergeCell ref="A105:C105"/>
    <mergeCell ref="A113:C113"/>
    <mergeCell ref="A114:B114"/>
    <mergeCell ref="A1:C1"/>
    <mergeCell ref="A2:C2"/>
    <mergeCell ref="A12:C12"/>
    <mergeCell ref="A79:C79"/>
    <mergeCell ref="A86:C86"/>
    <mergeCell ref="A94:C94"/>
    <mergeCell ref="B99:C99"/>
  </mergeCells>
  <pageMargins left="0.511811024" right="0.511811024" top="0.78740157499999996" bottom="0.78740157499999996" header="0.31496062000000002" footer="0.31496062000000002"/>
  <pageSetup paperSize="9" scale="3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pageSetUpPr fitToPage="1"/>
  </sheetPr>
  <dimension ref="A1:D119"/>
  <sheetViews>
    <sheetView workbookViewId="0">
      <selection activeCell="C8" sqref="C8"/>
    </sheetView>
  </sheetViews>
  <sheetFormatPr defaultRowHeight="15"/>
  <cols>
    <col min="1" max="1" width="84.7109375" bestFit="1" customWidth="1"/>
    <col min="2" max="2" width="14.28515625" bestFit="1" customWidth="1"/>
    <col min="3" max="3" width="54.5703125" bestFit="1" customWidth="1"/>
    <col min="4" max="4" width="97.7109375" bestFit="1" customWidth="1"/>
  </cols>
  <sheetData>
    <row r="1" spans="1:3" ht="90" customHeight="1">
      <c r="A1" s="348" t="s">
        <v>293</v>
      </c>
      <c r="B1" s="349"/>
      <c r="C1" s="350"/>
    </row>
    <row r="2" spans="1:3" ht="15.75" thickBot="1">
      <c r="A2" s="351" t="s">
        <v>0</v>
      </c>
      <c r="B2" s="351"/>
      <c r="C2" s="351"/>
    </row>
    <row r="3" spans="1:3" ht="15.75" thickBot="1">
      <c r="A3" s="1"/>
      <c r="B3" s="1"/>
      <c r="C3" s="1"/>
    </row>
    <row r="4" spans="1:3">
      <c r="A4" s="127" t="s">
        <v>1</v>
      </c>
      <c r="B4" s="122"/>
      <c r="C4" s="130" t="str">
        <f>'RESUMO FINAL '!C32:D32</f>
        <v>CUMULATIVA (LUCRO PRESUMIDO)</v>
      </c>
    </row>
    <row r="5" spans="1:3">
      <c r="A5" s="2" t="s">
        <v>3</v>
      </c>
      <c r="B5" s="3" t="s">
        <v>4</v>
      </c>
      <c r="C5" s="3" t="s">
        <v>5</v>
      </c>
    </row>
    <row r="6" spans="1:3">
      <c r="A6" s="4" t="s">
        <v>6</v>
      </c>
      <c r="B6" s="5"/>
      <c r="C6" s="6"/>
    </row>
    <row r="7" spans="1:3">
      <c r="A7" s="7" t="s">
        <v>7</v>
      </c>
      <c r="B7" s="124">
        <v>8</v>
      </c>
      <c r="C7" s="8" t="s">
        <v>109</v>
      </c>
    </row>
    <row r="8" spans="1:3" ht="25.5">
      <c r="A8" s="9" t="s">
        <v>8</v>
      </c>
      <c r="B8" s="125" t="s">
        <v>9</v>
      </c>
      <c r="C8" s="10" t="s">
        <v>10</v>
      </c>
    </row>
    <row r="9" spans="1:3">
      <c r="A9" s="7" t="s">
        <v>11</v>
      </c>
      <c r="B9" s="126">
        <v>200</v>
      </c>
      <c r="C9" s="8" t="s">
        <v>112</v>
      </c>
    </row>
    <row r="10" spans="1:3">
      <c r="A10" s="7" t="s">
        <v>12</v>
      </c>
      <c r="B10" s="126">
        <v>4</v>
      </c>
      <c r="C10" s="94" t="s">
        <v>200</v>
      </c>
    </row>
    <row r="11" spans="1:3">
      <c r="A11" s="7" t="s">
        <v>14</v>
      </c>
      <c r="B11" s="126">
        <v>4</v>
      </c>
      <c r="C11" s="94" t="s">
        <v>200</v>
      </c>
    </row>
    <row r="12" spans="1:3">
      <c r="A12" s="339"/>
      <c r="B12" s="339"/>
      <c r="C12" s="339"/>
    </row>
    <row r="13" spans="1:3">
      <c r="A13" s="11" t="s">
        <v>15</v>
      </c>
      <c r="B13" s="12"/>
      <c r="C13" s="13"/>
    </row>
    <row r="14" spans="1:3">
      <c r="A14" s="14" t="s">
        <v>16</v>
      </c>
      <c r="B14" s="128"/>
      <c r="C14" s="129">
        <v>1379.71</v>
      </c>
    </row>
    <row r="15" spans="1:3">
      <c r="A15" s="14" t="s">
        <v>17</v>
      </c>
      <c r="B15" s="15"/>
      <c r="C15" s="8" t="s">
        <v>291</v>
      </c>
    </row>
    <row r="16" spans="1:3">
      <c r="A16" s="14" t="s">
        <v>19</v>
      </c>
      <c r="B16" s="15"/>
      <c r="C16" s="6" t="s">
        <v>20</v>
      </c>
    </row>
    <row r="17" spans="1:3">
      <c r="A17" s="14" t="s">
        <v>21</v>
      </c>
      <c r="B17" s="15"/>
      <c r="C17" s="16">
        <v>44562</v>
      </c>
    </row>
    <row r="18" spans="1:3">
      <c r="A18" s="14" t="s">
        <v>22</v>
      </c>
      <c r="B18" s="17"/>
      <c r="C18" s="18" t="s">
        <v>23</v>
      </c>
    </row>
    <row r="19" spans="1:3">
      <c r="A19" s="7"/>
      <c r="B19" s="19"/>
      <c r="C19" s="6"/>
    </row>
    <row r="20" spans="1:3">
      <c r="A20" s="20" t="s">
        <v>24</v>
      </c>
      <c r="B20" s="21" t="s">
        <v>25</v>
      </c>
      <c r="C20" s="22" t="s">
        <v>26</v>
      </c>
    </row>
    <row r="21" spans="1:3">
      <c r="A21" s="23" t="s">
        <v>27</v>
      </c>
      <c r="B21" s="24"/>
      <c r="C21" s="25"/>
    </row>
    <row r="22" spans="1:3">
      <c r="A22" s="26" t="s">
        <v>28</v>
      </c>
      <c r="B22" s="27">
        <v>200</v>
      </c>
      <c r="C22" s="25">
        <f>C14/220*B22</f>
        <v>1254.2818181818182</v>
      </c>
    </row>
    <row r="23" spans="1:3">
      <c r="A23" s="26" t="s">
        <v>29</v>
      </c>
      <c r="B23" s="27">
        <v>20</v>
      </c>
      <c r="C23" s="25">
        <f>C14*B23%</f>
        <v>275.94200000000001</v>
      </c>
    </row>
    <row r="24" spans="1:3">
      <c r="A24" s="26" t="s">
        <v>30</v>
      </c>
      <c r="B24" s="27">
        <v>0</v>
      </c>
      <c r="C24" s="25">
        <f>C22*B24%</f>
        <v>0</v>
      </c>
    </row>
    <row r="25" spans="1:3">
      <c r="A25" s="26" t="s">
        <v>31</v>
      </c>
      <c r="B25" s="27">
        <v>0</v>
      </c>
      <c r="C25" s="25">
        <f>(((C22+C23+C24)/B22)*0.2)*B25</f>
        <v>0</v>
      </c>
    </row>
    <row r="26" spans="1:3">
      <c r="A26" s="28" t="s">
        <v>32</v>
      </c>
      <c r="B26" s="27">
        <v>0</v>
      </c>
      <c r="C26" s="25">
        <f>((((C22+C23+C24)/B22)*1.5)*B26)+((B26/30*4)*(C22+C23+C24)/B22)*1.5</f>
        <v>0</v>
      </c>
    </row>
    <row r="27" spans="1:3">
      <c r="A27" s="28" t="s">
        <v>33</v>
      </c>
      <c r="B27" s="27">
        <v>0</v>
      </c>
      <c r="C27" s="25">
        <f>(((C22+C23+C24)/B22)*2)*B27+((B27/30*4)*(C22+C23+C24)/B22)*2</f>
        <v>0</v>
      </c>
    </row>
    <row r="28" spans="1:3">
      <c r="A28" s="28" t="s">
        <v>34</v>
      </c>
      <c r="B28" s="27">
        <v>0</v>
      </c>
      <c r="C28" s="25">
        <v>0</v>
      </c>
    </row>
    <row r="29" spans="1:3">
      <c r="A29" s="28" t="s">
        <v>35</v>
      </c>
      <c r="B29" s="29">
        <f>B28*20%</f>
        <v>0</v>
      </c>
      <c r="C29" s="30">
        <v>0</v>
      </c>
    </row>
    <row r="30" spans="1:3">
      <c r="A30" s="56" t="s">
        <v>36</v>
      </c>
      <c r="B30" s="57"/>
      <c r="C30" s="136">
        <f>SUM(C22:C29)</f>
        <v>1530.2238181818182</v>
      </c>
    </row>
    <row r="31" spans="1:3">
      <c r="A31" s="34"/>
      <c r="B31" s="35"/>
      <c r="C31" s="25"/>
    </row>
    <row r="32" spans="1:3">
      <c r="A32" s="23" t="s">
        <v>37</v>
      </c>
      <c r="B32" s="24"/>
      <c r="C32" s="25"/>
    </row>
    <row r="33" spans="1:4">
      <c r="A33" s="26" t="s">
        <v>38</v>
      </c>
      <c r="B33" s="24"/>
      <c r="C33" s="13"/>
    </row>
    <row r="34" spans="1:4">
      <c r="A34" s="14" t="s">
        <v>39</v>
      </c>
      <c r="B34" s="35">
        <v>0.2</v>
      </c>
      <c r="C34" s="36">
        <f>(C30*B34)</f>
        <v>306.04476363636365</v>
      </c>
    </row>
    <row r="35" spans="1:4">
      <c r="A35" s="14" t="s">
        <v>40</v>
      </c>
      <c r="B35" s="35">
        <v>1.4999999999999999E-2</v>
      </c>
      <c r="C35" s="36">
        <f>(C30*B35)</f>
        <v>22.953357272727271</v>
      </c>
    </row>
    <row r="36" spans="1:4">
      <c r="A36" s="14" t="s">
        <v>41</v>
      </c>
      <c r="B36" s="35">
        <v>0.01</v>
      </c>
      <c r="C36" s="36">
        <f>(C30*B36)</f>
        <v>15.302238181818183</v>
      </c>
    </row>
    <row r="37" spans="1:4">
      <c r="A37" s="14" t="s">
        <v>42</v>
      </c>
      <c r="B37" s="35">
        <v>2E-3</v>
      </c>
      <c r="C37" s="36">
        <f>(C30*B37)</f>
        <v>3.0604476363636364</v>
      </c>
      <c r="D37" s="80"/>
    </row>
    <row r="38" spans="1:4">
      <c r="A38" s="14" t="s">
        <v>43</v>
      </c>
      <c r="B38" s="35">
        <v>2.5000000000000001E-2</v>
      </c>
      <c r="C38" s="36">
        <f>(C30*B38)</f>
        <v>38.255595454545457</v>
      </c>
    </row>
    <row r="39" spans="1:4">
      <c r="A39" s="14" t="s">
        <v>44</v>
      </c>
      <c r="B39" s="35">
        <v>0.08</v>
      </c>
      <c r="C39" s="36">
        <f>(C30*B39)</f>
        <v>122.41790545454546</v>
      </c>
    </row>
    <row r="40" spans="1:4">
      <c r="A40" s="52" t="s">
        <v>45</v>
      </c>
      <c r="B40" s="53">
        <f>'RESUMO FINAL '!D20</f>
        <v>0.06</v>
      </c>
      <c r="C40" s="90">
        <f>(C30*B40)</f>
        <v>91.813429090909082</v>
      </c>
    </row>
    <row r="41" spans="1:4">
      <c r="A41" s="37" t="s">
        <v>46</v>
      </c>
      <c r="B41" s="38">
        <v>6.0000000000000001E-3</v>
      </c>
      <c r="C41" s="36">
        <f>(C30*B41)</f>
        <v>9.18134290909091</v>
      </c>
    </row>
    <row r="42" spans="1:4">
      <c r="A42" s="34" t="s">
        <v>47</v>
      </c>
      <c r="B42" s="39">
        <f>SUM(B34:B41)</f>
        <v>0.39800000000000008</v>
      </c>
      <c r="C42" s="40">
        <f>SUM(C34:C41)</f>
        <v>609.02907963636358</v>
      </c>
      <c r="D42" s="80"/>
    </row>
    <row r="43" spans="1:4">
      <c r="A43" s="34"/>
      <c r="B43" s="39"/>
      <c r="C43" s="40"/>
    </row>
    <row r="44" spans="1:4">
      <c r="A44" s="23" t="s">
        <v>48</v>
      </c>
      <c r="B44" s="39"/>
      <c r="C44" s="40"/>
    </row>
    <row r="45" spans="1:4">
      <c r="A45" s="26" t="s">
        <v>38</v>
      </c>
      <c r="B45" s="39"/>
      <c r="C45" s="40"/>
    </row>
    <row r="46" spans="1:4">
      <c r="A46" s="34" t="s">
        <v>49</v>
      </c>
      <c r="B46" s="24"/>
      <c r="C46" s="25"/>
    </row>
    <row r="47" spans="1:4">
      <c r="A47" s="41" t="s">
        <v>50</v>
      </c>
      <c r="B47" s="42">
        <v>8.3299999999999999E-2</v>
      </c>
      <c r="C47" s="36">
        <f>(C30*B47)</f>
        <v>127.46764405454545</v>
      </c>
    </row>
    <row r="48" spans="1:4">
      <c r="A48" s="41" t="s">
        <v>51</v>
      </c>
      <c r="B48" s="42">
        <v>8.3299999999999999E-2</v>
      </c>
      <c r="C48" s="36">
        <f>(C30*B48)</f>
        <v>127.46764405454545</v>
      </c>
    </row>
    <row r="49" spans="1:4">
      <c r="A49" s="14" t="s">
        <v>52</v>
      </c>
      <c r="B49" s="35">
        <v>2.7799999999999998E-2</v>
      </c>
      <c r="C49" s="36">
        <f>(C30*B49)</f>
        <v>42.540222145454543</v>
      </c>
    </row>
    <row r="50" spans="1:4">
      <c r="A50" s="14" t="s">
        <v>53</v>
      </c>
      <c r="B50" s="39">
        <f>SUM(B47:B49)</f>
        <v>0.19439999999999999</v>
      </c>
      <c r="C50" s="40">
        <f>(C30*B50)</f>
        <v>297.47551025454544</v>
      </c>
    </row>
    <row r="51" spans="1:4">
      <c r="A51" s="14" t="s">
        <v>54</v>
      </c>
      <c r="B51" s="35">
        <f>(B42*B50)</f>
        <v>7.7371200000000015E-2</v>
      </c>
      <c r="C51" s="36">
        <f>(C30*B51)</f>
        <v>118.39525308130911</v>
      </c>
    </row>
    <row r="52" spans="1:4">
      <c r="A52" s="14" t="s">
        <v>55</v>
      </c>
      <c r="B52" s="39">
        <f>B50+B51</f>
        <v>0.27177119999999999</v>
      </c>
      <c r="C52" s="40">
        <f>(C30*B52)</f>
        <v>415.87076333585452</v>
      </c>
      <c r="D52" s="80"/>
    </row>
    <row r="53" spans="1:4">
      <c r="A53" s="14"/>
      <c r="B53" s="35"/>
      <c r="C53" s="43"/>
    </row>
    <row r="54" spans="1:4">
      <c r="A54" s="34" t="s">
        <v>56</v>
      </c>
      <c r="B54" s="35"/>
      <c r="C54" s="43"/>
    </row>
    <row r="55" spans="1:4">
      <c r="A55" s="14" t="s">
        <v>57</v>
      </c>
      <c r="B55" s="35">
        <v>4.1999999999999997E-3</v>
      </c>
      <c r="C55" s="36">
        <f>(C30*B55)</f>
        <v>6.4269400363636358</v>
      </c>
    </row>
    <row r="56" spans="1:4">
      <c r="A56" s="44" t="s">
        <v>58</v>
      </c>
      <c r="B56" s="45">
        <v>2.9999999999999997E-4</v>
      </c>
      <c r="C56" s="36">
        <f>(C30*B56)</f>
        <v>0.45906714545454541</v>
      </c>
    </row>
    <row r="57" spans="1:4">
      <c r="A57" s="14" t="s">
        <v>59</v>
      </c>
      <c r="B57" s="35">
        <v>1E-4</v>
      </c>
      <c r="C57" s="36">
        <f>(C30*B57)</f>
        <v>0.15302238181818181</v>
      </c>
    </row>
    <row r="58" spans="1:4">
      <c r="A58" s="37" t="s">
        <v>60</v>
      </c>
      <c r="B58" s="38">
        <v>1.9800000000000002E-2</v>
      </c>
      <c r="C58" s="36">
        <f>(C30*B58)</f>
        <v>30.298431600000001</v>
      </c>
    </row>
    <row r="59" spans="1:4">
      <c r="A59" s="37" t="s">
        <v>61</v>
      </c>
      <c r="B59" s="38">
        <f>(B42*B58)</f>
        <v>7.8804000000000027E-3</v>
      </c>
      <c r="C59" s="36">
        <f>(C30*B59)</f>
        <v>12.058775776800005</v>
      </c>
    </row>
    <row r="60" spans="1:4">
      <c r="A60" s="37" t="s">
        <v>62</v>
      </c>
      <c r="B60" s="38">
        <f>(B58*8%*40%)</f>
        <v>6.3360000000000011E-4</v>
      </c>
      <c r="C60" s="36">
        <f>(C30*B60)</f>
        <v>0.96954981120000017</v>
      </c>
    </row>
    <row r="61" spans="1:4">
      <c r="A61" s="37" t="s">
        <v>63</v>
      </c>
      <c r="B61" s="38">
        <v>0.04</v>
      </c>
      <c r="C61" s="36">
        <f>(C30*B61)</f>
        <v>61.208952727272731</v>
      </c>
    </row>
    <row r="62" spans="1:4">
      <c r="A62" s="37"/>
      <c r="B62" s="32">
        <f>SUM(B55:B61)</f>
        <v>7.2914000000000007E-2</v>
      </c>
      <c r="C62" s="46">
        <f>SUM(C55:C61)</f>
        <v>111.57473947890909</v>
      </c>
      <c r="D62" s="80"/>
    </row>
    <row r="63" spans="1:4">
      <c r="A63" s="34"/>
      <c r="B63" s="39"/>
      <c r="C63" s="47"/>
    </row>
    <row r="64" spans="1:4">
      <c r="A64" s="34"/>
      <c r="B64" s="39"/>
      <c r="C64" s="25"/>
    </row>
    <row r="65" spans="1:4">
      <c r="A65" s="48" t="s">
        <v>64</v>
      </c>
      <c r="B65" s="49"/>
      <c r="C65" s="25"/>
    </row>
    <row r="66" spans="1:4">
      <c r="A66" s="50" t="s">
        <v>65</v>
      </c>
      <c r="B66" s="51">
        <v>1.38E-2</v>
      </c>
      <c r="C66" s="36">
        <f>(C30*B66)</f>
        <v>21.117088690909089</v>
      </c>
    </row>
    <row r="67" spans="1:4">
      <c r="A67" s="50" t="s">
        <v>66</v>
      </c>
      <c r="B67" s="51">
        <v>1.66E-2</v>
      </c>
      <c r="C67" s="36">
        <f>(C30*B67)</f>
        <v>25.401715381818182</v>
      </c>
    </row>
    <row r="68" spans="1:4">
      <c r="A68" s="50" t="s">
        <v>67</v>
      </c>
      <c r="B68" s="51">
        <v>2.0000000000000001E-4</v>
      </c>
      <c r="C68" s="36">
        <f>(C30*B68)</f>
        <v>0.30604476363636363</v>
      </c>
    </row>
    <row r="69" spans="1:4">
      <c r="A69" s="50" t="s">
        <v>68</v>
      </c>
      <c r="B69" s="51">
        <v>2.8E-3</v>
      </c>
      <c r="C69" s="36">
        <f>(C30*B69)</f>
        <v>4.2846266909090911</v>
      </c>
    </row>
    <row r="70" spans="1:4">
      <c r="A70" s="52" t="s">
        <v>69</v>
      </c>
      <c r="B70" s="53">
        <v>2.9999999999999997E-4</v>
      </c>
      <c r="C70" s="36">
        <f>(C30*B70)</f>
        <v>0.45906714545454541</v>
      </c>
    </row>
    <row r="71" spans="1:4">
      <c r="A71" s="52" t="s">
        <v>70</v>
      </c>
      <c r="B71" s="53">
        <v>6.9999999999999999E-4</v>
      </c>
      <c r="C71" s="36">
        <f>(C30*B71)</f>
        <v>1.0711566727272728</v>
      </c>
    </row>
    <row r="72" spans="1:4">
      <c r="A72" s="54" t="s">
        <v>71</v>
      </c>
      <c r="B72" s="55">
        <v>1.2699999999999999E-2</v>
      </c>
      <c r="C72" s="36">
        <f>(C30*B72)</f>
        <v>19.43384249090909</v>
      </c>
    </row>
    <row r="73" spans="1:4">
      <c r="A73" s="56" t="s">
        <v>72</v>
      </c>
      <c r="B73" s="57">
        <f>SUM(B66:B72)</f>
        <v>4.7100000000000003E-2</v>
      </c>
      <c r="C73" s="40">
        <f>(C30*B73)</f>
        <v>72.073541836363646</v>
      </c>
      <c r="D73" s="80"/>
    </row>
    <row r="74" spans="1:4">
      <c r="A74" s="31"/>
      <c r="B74" s="32"/>
      <c r="C74" s="30"/>
    </row>
    <row r="75" spans="1:4">
      <c r="A75" s="58"/>
      <c r="B75" s="59"/>
      <c r="C75" s="36"/>
    </row>
    <row r="76" spans="1:4">
      <c r="A76" s="48" t="s">
        <v>73</v>
      </c>
      <c r="B76" s="60">
        <f>B42+B52+B62+B73</f>
        <v>0.78978520000000008</v>
      </c>
      <c r="C76" s="47">
        <f>(C42+C52+C62+C73)</f>
        <v>1208.5481242874907</v>
      </c>
    </row>
    <row r="77" spans="1:4">
      <c r="A77" s="61"/>
      <c r="B77" s="62"/>
      <c r="C77" s="63"/>
    </row>
    <row r="78" spans="1:4">
      <c r="A78" s="61" t="s">
        <v>74</v>
      </c>
      <c r="B78" s="137">
        <f>B76+B42</f>
        <v>1.1877852000000002</v>
      </c>
      <c r="C78" s="138">
        <f>C30+C73+C42+C52+C62</f>
        <v>2738.7719424693091</v>
      </c>
    </row>
    <row r="79" spans="1:4">
      <c r="A79" s="340"/>
      <c r="B79" s="340"/>
      <c r="C79" s="340"/>
    </row>
    <row r="80" spans="1:4">
      <c r="A80" s="2" t="s">
        <v>75</v>
      </c>
      <c r="B80" s="21" t="str">
        <f>B20</f>
        <v>Vlr / % / Hs</v>
      </c>
      <c r="C80" s="22" t="str">
        <f>C20</f>
        <v>POR COLABORADOR</v>
      </c>
    </row>
    <row r="81" spans="1:4">
      <c r="A81" s="44" t="s">
        <v>76</v>
      </c>
      <c r="B81" s="64">
        <v>0</v>
      </c>
      <c r="C81" s="25">
        <f>(B81*30)</f>
        <v>0</v>
      </c>
    </row>
    <row r="82" spans="1:4">
      <c r="A82" s="26" t="s">
        <v>77</v>
      </c>
      <c r="B82" s="45">
        <v>0</v>
      </c>
      <c r="C82" s="25">
        <f>-(B82*C22)</f>
        <v>0</v>
      </c>
    </row>
    <row r="83" spans="1:4">
      <c r="A83" s="14" t="s">
        <v>78</v>
      </c>
      <c r="B83" s="64">
        <v>20.18</v>
      </c>
      <c r="C83" s="25">
        <f>(B83*20)</f>
        <v>403.6</v>
      </c>
    </row>
    <row r="84" spans="1:4">
      <c r="A84" s="14" t="s">
        <v>79</v>
      </c>
      <c r="B84" s="75">
        <v>0.19</v>
      </c>
      <c r="C84" s="76">
        <f>B84*C83</f>
        <v>76.684000000000012</v>
      </c>
    </row>
    <row r="85" spans="1:4">
      <c r="A85" s="34" t="s">
        <v>80</v>
      </c>
      <c r="B85" s="65" t="s">
        <v>9</v>
      </c>
      <c r="C85" s="47">
        <f>C83-C84</f>
        <v>326.916</v>
      </c>
    </row>
    <row r="86" spans="1:4">
      <c r="A86" s="340"/>
      <c r="B86" s="340"/>
      <c r="C86" s="340"/>
      <c r="D86" s="87"/>
    </row>
    <row r="87" spans="1:4">
      <c r="A87" s="2" t="s">
        <v>81</v>
      </c>
      <c r="B87" s="21" t="str">
        <f>B80</f>
        <v>Vlr / % / Hs</v>
      </c>
      <c r="C87" s="22" t="str">
        <f>C20</f>
        <v>POR COLABORADOR</v>
      </c>
    </row>
    <row r="88" spans="1:4">
      <c r="A88" s="44" t="s">
        <v>257</v>
      </c>
      <c r="B88" s="81" t="s">
        <v>242</v>
      </c>
      <c r="C88" s="25">
        <f>UNIFORMES!H14</f>
        <v>34.333333333333329</v>
      </c>
    </row>
    <row r="89" spans="1:4">
      <c r="A89" s="44" t="s">
        <v>82</v>
      </c>
      <c r="B89" s="81" t="s">
        <v>242</v>
      </c>
      <c r="C89" s="25">
        <f>EPI´S!H24</f>
        <v>70.3125</v>
      </c>
    </row>
    <row r="90" spans="1:4">
      <c r="A90" s="26" t="s">
        <v>83</v>
      </c>
      <c r="B90" s="53" t="s">
        <v>9</v>
      </c>
      <c r="C90" s="25">
        <v>0</v>
      </c>
    </row>
    <row r="91" spans="1:4">
      <c r="A91" s="14" t="s">
        <v>84</v>
      </c>
      <c r="B91" s="53" t="s">
        <v>9</v>
      </c>
      <c r="C91" s="25">
        <v>0</v>
      </c>
    </row>
    <row r="92" spans="1:4">
      <c r="A92" s="28" t="s">
        <v>85</v>
      </c>
      <c r="B92" s="55" t="s">
        <v>9</v>
      </c>
      <c r="C92" s="30">
        <v>17.32</v>
      </c>
    </row>
    <row r="93" spans="1:4">
      <c r="A93" s="34" t="s">
        <v>86</v>
      </c>
      <c r="B93" s="82"/>
      <c r="C93" s="47">
        <f>SUM(C88:C92)</f>
        <v>121.96583333333334</v>
      </c>
    </row>
    <row r="94" spans="1:4">
      <c r="A94" s="352"/>
      <c r="B94" s="352"/>
      <c r="C94" s="352"/>
    </row>
    <row r="95" spans="1:4">
      <c r="A95" s="66" t="s">
        <v>87</v>
      </c>
      <c r="B95" s="21" t="s">
        <v>88</v>
      </c>
      <c r="C95" s="22" t="str">
        <f>C87</f>
        <v>POR COLABORADOR</v>
      </c>
    </row>
    <row r="96" spans="1:4">
      <c r="A96" s="14" t="s">
        <v>89</v>
      </c>
      <c r="B96" s="83">
        <f>'RESUMO FINAL '!D24</f>
        <v>0.03</v>
      </c>
      <c r="C96" s="67">
        <f>(C78*B96)</f>
        <v>82.163158274079265</v>
      </c>
    </row>
    <row r="97" spans="1:4">
      <c r="A97" s="14" t="s">
        <v>90</v>
      </c>
      <c r="B97" s="85">
        <f>'RESUMO FINAL '!D25</f>
        <v>0</v>
      </c>
      <c r="C97" s="67">
        <f>(C78*B97)</f>
        <v>0</v>
      </c>
      <c r="D97" s="135"/>
    </row>
    <row r="98" spans="1:4">
      <c r="A98" s="34" t="s">
        <v>91</v>
      </c>
      <c r="B98" s="79">
        <f>SUM(B96:B97)</f>
        <v>0.03</v>
      </c>
      <c r="C98" s="47">
        <f>SUM(C96:C97)</f>
        <v>82.163158274079265</v>
      </c>
    </row>
    <row r="99" spans="1:4">
      <c r="A99" s="68"/>
      <c r="B99" s="344"/>
      <c r="C99" s="344"/>
    </row>
    <row r="100" spans="1:4">
      <c r="A100" s="69" t="s">
        <v>92</v>
      </c>
      <c r="B100" s="21" t="s">
        <v>88</v>
      </c>
      <c r="C100" s="22" t="str">
        <f>C95</f>
        <v>POR COLABORADOR</v>
      </c>
    </row>
    <row r="101" spans="1:4">
      <c r="A101" s="14" t="s">
        <v>93</v>
      </c>
      <c r="B101" s="51">
        <f>'RESUMO FINAL '!D28</f>
        <v>6.4999999999999997E-3</v>
      </c>
      <c r="C101" s="70">
        <f>(C78*B101)</f>
        <v>17.802017626050507</v>
      </c>
    </row>
    <row r="102" spans="1:4">
      <c r="A102" s="26" t="s">
        <v>94</v>
      </c>
      <c r="B102" s="51">
        <f>'RESUMO FINAL '!D27</f>
        <v>0.03</v>
      </c>
      <c r="C102" s="70">
        <f>(C78*B102)</f>
        <v>82.163158274079265</v>
      </c>
    </row>
    <row r="103" spans="1:4">
      <c r="A103" s="26" t="s">
        <v>95</v>
      </c>
      <c r="B103" s="78">
        <v>2.5000000000000001E-2</v>
      </c>
      <c r="C103" s="70">
        <f>(C78*B103)</f>
        <v>68.469298561732728</v>
      </c>
    </row>
    <row r="104" spans="1:4">
      <c r="A104" s="71" t="s">
        <v>96</v>
      </c>
      <c r="B104" s="60">
        <f>SUM(B101:B103)</f>
        <v>6.1499999999999999E-2</v>
      </c>
      <c r="C104" s="72">
        <f>SUM(C101:C103)</f>
        <v>168.43447446186249</v>
      </c>
    </row>
    <row r="105" spans="1:4">
      <c r="A105" s="345"/>
      <c r="B105" s="345"/>
      <c r="C105" s="345"/>
    </row>
    <row r="106" spans="1:4">
      <c r="A106" s="73" t="s">
        <v>97</v>
      </c>
      <c r="B106" s="21" t="str">
        <f>B87</f>
        <v>Vlr / % / Hs</v>
      </c>
      <c r="C106" s="22" t="str">
        <f>C100</f>
        <v>POR COLABORADOR</v>
      </c>
    </row>
    <row r="107" spans="1:4">
      <c r="A107" s="34" t="s">
        <v>98</v>
      </c>
      <c r="B107" s="88"/>
      <c r="C107" s="106">
        <f>C78</f>
        <v>2738.7719424693091</v>
      </c>
    </row>
    <row r="108" spans="1:4">
      <c r="A108" s="23" t="s">
        <v>99</v>
      </c>
      <c r="B108" s="89"/>
      <c r="C108" s="106">
        <f>C85</f>
        <v>326.916</v>
      </c>
    </row>
    <row r="109" spans="1:4">
      <c r="A109" s="23" t="s">
        <v>100</v>
      </c>
      <c r="B109" s="89"/>
      <c r="C109" s="106">
        <f>C93</f>
        <v>121.96583333333334</v>
      </c>
    </row>
    <row r="110" spans="1:4">
      <c r="A110" s="23" t="s">
        <v>101</v>
      </c>
      <c r="B110" s="89"/>
      <c r="C110" s="106">
        <f>C98</f>
        <v>82.163158274079265</v>
      </c>
    </row>
    <row r="111" spans="1:4">
      <c r="A111" s="23" t="s">
        <v>102</v>
      </c>
      <c r="B111" s="89"/>
      <c r="C111" s="106">
        <f>C104</f>
        <v>168.43447446186249</v>
      </c>
    </row>
    <row r="112" spans="1:4">
      <c r="A112" s="346"/>
      <c r="B112" s="346"/>
      <c r="C112" s="346"/>
    </row>
    <row r="113" spans="1:3">
      <c r="A113" s="347" t="s">
        <v>103</v>
      </c>
      <c r="B113" s="347"/>
      <c r="C113" s="108">
        <f>SUM(C107:C111)</f>
        <v>3438.2514085385842</v>
      </c>
    </row>
    <row r="114" spans="1:3">
      <c r="A114" s="109"/>
      <c r="B114" s="74"/>
      <c r="C114" s="74"/>
    </row>
    <row r="115" spans="1:3">
      <c r="A115" s="110" t="s">
        <v>104</v>
      </c>
      <c r="B115" s="111"/>
      <c r="C115" s="22" t="str">
        <f>C106</f>
        <v>POR COLABORADOR</v>
      </c>
    </row>
    <row r="116" spans="1:3">
      <c r="A116" s="112" t="s">
        <v>105</v>
      </c>
      <c r="B116" s="113">
        <v>12</v>
      </c>
      <c r="C116" s="114">
        <f>C113*B116</f>
        <v>41259.016902463009</v>
      </c>
    </row>
    <row r="118" spans="1:3">
      <c r="A118" t="s">
        <v>196</v>
      </c>
    </row>
    <row r="119" spans="1:3">
      <c r="A119" t="s">
        <v>197</v>
      </c>
    </row>
  </sheetData>
  <sheetProtection password="B391" sheet="1" objects="1" scenarios="1"/>
  <mergeCells count="10">
    <mergeCell ref="B99:C99"/>
    <mergeCell ref="A105:C105"/>
    <mergeCell ref="A112:C112"/>
    <mergeCell ref="A113:B113"/>
    <mergeCell ref="A1:C1"/>
    <mergeCell ref="A2:C2"/>
    <mergeCell ref="A12:C12"/>
    <mergeCell ref="A79:C79"/>
    <mergeCell ref="A86:C86"/>
    <mergeCell ref="A94:C94"/>
  </mergeCells>
  <pageMargins left="0.511811024" right="0.511811024" top="0.78740157499999996" bottom="0.78740157499999996" header="0.31496062000000002" footer="0.31496062000000002"/>
  <pageSetup paperSize="9" scale="3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pageSetUpPr fitToPage="1"/>
  </sheetPr>
  <dimension ref="A1:D120"/>
  <sheetViews>
    <sheetView zoomScaleNormal="100" workbookViewId="0">
      <selection sqref="A1:C1"/>
    </sheetView>
  </sheetViews>
  <sheetFormatPr defaultRowHeight="15"/>
  <cols>
    <col min="1" max="1" width="84.7109375" bestFit="1" customWidth="1"/>
    <col min="2" max="2" width="16.7109375" bestFit="1" customWidth="1"/>
    <col min="3" max="3" width="41.140625" customWidth="1"/>
    <col min="4" max="4" width="97.7109375" bestFit="1" customWidth="1"/>
  </cols>
  <sheetData>
    <row r="1" spans="1:3" ht="90" customHeight="1">
      <c r="A1" s="348" t="s">
        <v>293</v>
      </c>
      <c r="B1" s="353"/>
      <c r="C1" s="354"/>
    </row>
    <row r="2" spans="1:3" ht="15.75" thickBot="1">
      <c r="A2" s="355" t="s">
        <v>0</v>
      </c>
      <c r="B2" s="356"/>
      <c r="C2" s="357"/>
    </row>
    <row r="3" spans="1:3" ht="15.75" thickBot="1">
      <c r="A3" s="1"/>
      <c r="B3" s="1"/>
      <c r="C3" s="1"/>
    </row>
    <row r="4" spans="1:3">
      <c r="A4" s="127" t="s">
        <v>1</v>
      </c>
      <c r="B4" s="122"/>
      <c r="C4" s="130" t="str">
        <f>'RESUMO FINAL '!C32:D32</f>
        <v>CUMULATIVA (LUCRO PRESUMIDO)</v>
      </c>
    </row>
    <row r="5" spans="1:3">
      <c r="A5" s="2" t="s">
        <v>3</v>
      </c>
      <c r="B5" s="3" t="s">
        <v>4</v>
      </c>
      <c r="C5" s="3" t="s">
        <v>5</v>
      </c>
    </row>
    <row r="6" spans="1:3">
      <c r="A6" s="4" t="s">
        <v>6</v>
      </c>
      <c r="B6" s="5"/>
      <c r="C6" s="6"/>
    </row>
    <row r="7" spans="1:3">
      <c r="A7" s="7" t="s">
        <v>7</v>
      </c>
      <c r="B7" s="124">
        <v>8</v>
      </c>
      <c r="C7" s="8" t="s">
        <v>109</v>
      </c>
    </row>
    <row r="8" spans="1:3" ht="38.25">
      <c r="A8" s="9" t="s">
        <v>8</v>
      </c>
      <c r="B8" s="125" t="s">
        <v>9</v>
      </c>
      <c r="C8" s="10" t="s">
        <v>10</v>
      </c>
    </row>
    <row r="9" spans="1:3">
      <c r="A9" s="7" t="s">
        <v>11</v>
      </c>
      <c r="B9" s="126">
        <v>200</v>
      </c>
      <c r="C9" s="8" t="s">
        <v>112</v>
      </c>
    </row>
    <row r="10" spans="1:3">
      <c r="A10" s="7" t="s">
        <v>12</v>
      </c>
      <c r="B10" s="126">
        <v>12</v>
      </c>
      <c r="C10" s="94" t="s">
        <v>199</v>
      </c>
    </row>
    <row r="11" spans="1:3">
      <c r="A11" s="7" t="s">
        <v>14</v>
      </c>
      <c r="B11" s="126">
        <v>12</v>
      </c>
      <c r="C11" s="94" t="s">
        <v>199</v>
      </c>
    </row>
    <row r="12" spans="1:3">
      <c r="A12" s="339"/>
      <c r="B12" s="339"/>
      <c r="C12" s="339"/>
    </row>
    <row r="13" spans="1:3">
      <c r="A13" s="11" t="s">
        <v>15</v>
      </c>
      <c r="B13" s="12"/>
      <c r="C13" s="13"/>
    </row>
    <row r="14" spans="1:3">
      <c r="A14" s="14" t="s">
        <v>16</v>
      </c>
      <c r="B14" s="128"/>
      <c r="C14" s="129">
        <v>1314.09</v>
      </c>
    </row>
    <row r="15" spans="1:3">
      <c r="A15" s="14" t="s">
        <v>17</v>
      </c>
      <c r="B15" s="15"/>
      <c r="C15" s="8" t="s">
        <v>18</v>
      </c>
    </row>
    <row r="16" spans="1:3">
      <c r="A16" s="14" t="s">
        <v>19</v>
      </c>
      <c r="B16" s="15"/>
      <c r="C16" s="6" t="s">
        <v>20</v>
      </c>
    </row>
    <row r="17" spans="1:3">
      <c r="A17" s="14" t="s">
        <v>21</v>
      </c>
      <c r="B17" s="15"/>
      <c r="C17" s="16">
        <v>44562</v>
      </c>
    </row>
    <row r="18" spans="1:3">
      <c r="A18" s="14" t="s">
        <v>22</v>
      </c>
      <c r="B18" s="17"/>
      <c r="C18" s="18" t="s">
        <v>23</v>
      </c>
    </row>
    <row r="19" spans="1:3">
      <c r="A19" s="7"/>
      <c r="B19" s="19"/>
      <c r="C19" s="6"/>
    </row>
    <row r="20" spans="1:3">
      <c r="A20" s="20" t="s">
        <v>24</v>
      </c>
      <c r="B20" s="21" t="s">
        <v>25</v>
      </c>
      <c r="C20" s="22" t="s">
        <v>26</v>
      </c>
    </row>
    <row r="21" spans="1:3">
      <c r="A21" s="23" t="s">
        <v>27</v>
      </c>
      <c r="B21" s="24"/>
      <c r="C21" s="25"/>
    </row>
    <row r="22" spans="1:3">
      <c r="A22" s="26" t="s">
        <v>28</v>
      </c>
      <c r="B22" s="27">
        <v>200</v>
      </c>
      <c r="C22" s="25">
        <f>C14/220*B22</f>
        <v>1194.6272727272726</v>
      </c>
    </row>
    <row r="23" spans="1:3">
      <c r="A23" s="26" t="s">
        <v>29</v>
      </c>
      <c r="B23" s="27">
        <v>20</v>
      </c>
      <c r="C23" s="25">
        <f>C14*B23%</f>
        <v>262.81799999999998</v>
      </c>
    </row>
    <row r="24" spans="1:3">
      <c r="A24" s="26" t="s">
        <v>30</v>
      </c>
      <c r="B24" s="27">
        <v>0</v>
      </c>
      <c r="C24" s="25">
        <f>C22*B24%</f>
        <v>0</v>
      </c>
    </row>
    <row r="25" spans="1:3">
      <c r="A25" s="26" t="s">
        <v>31</v>
      </c>
      <c r="B25" s="27">
        <v>0</v>
      </c>
      <c r="C25" s="25">
        <f>(((C22+C23+C24)/B22)*0.2)*B25</f>
        <v>0</v>
      </c>
    </row>
    <row r="26" spans="1:3">
      <c r="A26" s="28" t="s">
        <v>32</v>
      </c>
      <c r="B26" s="27">
        <v>0</v>
      </c>
      <c r="C26" s="25">
        <f>((((C22+C23+C24)/B22)*1.5)*B26)+((B26/30*4)*(C22+C23+C24)/B22)*1.5</f>
        <v>0</v>
      </c>
    </row>
    <row r="27" spans="1:3">
      <c r="A27" s="28" t="s">
        <v>33</v>
      </c>
      <c r="B27" s="27">
        <v>0</v>
      </c>
      <c r="C27" s="25">
        <f>(((C22+C23+C24)/B22)*2)*B27+((B27/30*4)*(C22+C23+C24)/B22)*2</f>
        <v>0</v>
      </c>
    </row>
    <row r="28" spans="1:3">
      <c r="A28" s="28" t="s">
        <v>34</v>
      </c>
      <c r="B28" s="27">
        <v>0</v>
      </c>
      <c r="C28" s="25">
        <v>0</v>
      </c>
    </row>
    <row r="29" spans="1:3">
      <c r="A29" s="28" t="s">
        <v>35</v>
      </c>
      <c r="B29" s="29">
        <f>B28*20%</f>
        <v>0</v>
      </c>
      <c r="C29" s="30">
        <v>0</v>
      </c>
    </row>
    <row r="30" spans="1:3">
      <c r="A30" s="31" t="s">
        <v>36</v>
      </c>
      <c r="B30" s="32"/>
      <c r="C30" s="33">
        <f>SUM(C22:C29)</f>
        <v>1457.4452727272726</v>
      </c>
    </row>
    <row r="31" spans="1:3">
      <c r="A31" s="34"/>
      <c r="B31" s="35"/>
      <c r="C31" s="25"/>
    </row>
    <row r="32" spans="1:3">
      <c r="A32" s="23" t="s">
        <v>37</v>
      </c>
      <c r="B32" s="24"/>
      <c r="C32" s="25"/>
    </row>
    <row r="33" spans="1:4">
      <c r="A33" s="26" t="s">
        <v>38</v>
      </c>
      <c r="B33" s="24"/>
      <c r="C33" s="13"/>
    </row>
    <row r="34" spans="1:4">
      <c r="A34" s="14" t="s">
        <v>39</v>
      </c>
      <c r="B34" s="35">
        <v>0.2</v>
      </c>
      <c r="C34" s="36">
        <f>(C30*B34)</f>
        <v>291.48905454545451</v>
      </c>
    </row>
    <row r="35" spans="1:4">
      <c r="A35" s="14" t="s">
        <v>40</v>
      </c>
      <c r="B35" s="35">
        <v>1.4999999999999999E-2</v>
      </c>
      <c r="C35" s="36">
        <f>(C30*B35)</f>
        <v>21.861679090909089</v>
      </c>
    </row>
    <row r="36" spans="1:4">
      <c r="A36" s="14" t="s">
        <v>41</v>
      </c>
      <c r="B36" s="35">
        <v>0.01</v>
      </c>
      <c r="C36" s="36">
        <f>(C30*B36)</f>
        <v>14.574452727272726</v>
      </c>
    </row>
    <row r="37" spans="1:4">
      <c r="A37" s="14" t="s">
        <v>42</v>
      </c>
      <c r="B37" s="35">
        <v>2E-3</v>
      </c>
      <c r="C37" s="36">
        <f>(C30*B37)</f>
        <v>2.9148905454545453</v>
      </c>
    </row>
    <row r="38" spans="1:4">
      <c r="A38" s="14" t="s">
        <v>43</v>
      </c>
      <c r="B38" s="35">
        <v>2.5000000000000001E-2</v>
      </c>
      <c r="C38" s="36">
        <f>(C30*B38)</f>
        <v>36.436131818181813</v>
      </c>
    </row>
    <row r="39" spans="1:4">
      <c r="A39" s="14" t="s">
        <v>44</v>
      </c>
      <c r="B39" s="35">
        <v>0.08</v>
      </c>
      <c r="C39" s="36">
        <f>(C30*B39)</f>
        <v>116.59562181818181</v>
      </c>
    </row>
    <row r="40" spans="1:4">
      <c r="A40" s="52" t="s">
        <v>45</v>
      </c>
      <c r="B40" s="53">
        <f>'RESUMO FINAL '!D20</f>
        <v>0.06</v>
      </c>
      <c r="C40" s="90">
        <f>(C30*B40)</f>
        <v>87.446716363636355</v>
      </c>
    </row>
    <row r="41" spans="1:4">
      <c r="A41" s="37" t="s">
        <v>46</v>
      </c>
      <c r="B41" s="38">
        <v>6.0000000000000001E-3</v>
      </c>
      <c r="C41" s="36">
        <f>(C30*B41)</f>
        <v>8.7446716363636359</v>
      </c>
    </row>
    <row r="42" spans="1:4">
      <c r="A42" s="34" t="s">
        <v>47</v>
      </c>
      <c r="B42" s="39">
        <f>SUM(B34:B41)</f>
        <v>0.39800000000000008</v>
      </c>
      <c r="C42" s="40">
        <f>TRUNC(SUM(C34:C41),2)</f>
        <v>580.05999999999995</v>
      </c>
      <c r="D42" s="80"/>
    </row>
    <row r="43" spans="1:4">
      <c r="A43" s="34"/>
      <c r="B43" s="39"/>
      <c r="C43" s="40"/>
    </row>
    <row r="44" spans="1:4">
      <c r="A44" s="23" t="s">
        <v>48</v>
      </c>
      <c r="B44" s="39"/>
      <c r="C44" s="40"/>
    </row>
    <row r="45" spans="1:4">
      <c r="A45" s="26" t="s">
        <v>38</v>
      </c>
      <c r="B45" s="39"/>
      <c r="C45" s="40"/>
    </row>
    <row r="46" spans="1:4">
      <c r="A46" s="34" t="s">
        <v>49</v>
      </c>
      <c r="B46" s="24"/>
      <c r="C46" s="25"/>
    </row>
    <row r="47" spans="1:4">
      <c r="A47" s="41" t="s">
        <v>50</v>
      </c>
      <c r="B47" s="42">
        <v>8.3299999999999999E-2</v>
      </c>
      <c r="C47" s="36">
        <f>(C30*B47)</f>
        <v>121.40519121818181</v>
      </c>
    </row>
    <row r="48" spans="1:4">
      <c r="A48" s="41" t="s">
        <v>51</v>
      </c>
      <c r="B48" s="42">
        <v>8.3299999999999999E-2</v>
      </c>
      <c r="C48" s="36">
        <f>(C30*B48)</f>
        <v>121.40519121818181</v>
      </c>
    </row>
    <row r="49" spans="1:3">
      <c r="A49" s="14" t="s">
        <v>52</v>
      </c>
      <c r="B49" s="35">
        <v>2.7799999999999998E-2</v>
      </c>
      <c r="C49" s="36">
        <f>(C30*B49)</f>
        <v>40.516978581818172</v>
      </c>
    </row>
    <row r="50" spans="1:3">
      <c r="A50" s="14" t="s">
        <v>53</v>
      </c>
      <c r="B50" s="39">
        <f>SUM(B47:B49)</f>
        <v>0.19439999999999999</v>
      </c>
      <c r="C50" s="40">
        <f>(C30*B50)</f>
        <v>283.32736101818176</v>
      </c>
    </row>
    <row r="51" spans="1:3">
      <c r="A51" s="14" t="s">
        <v>54</v>
      </c>
      <c r="B51" s="35">
        <f>(B42*B50)</f>
        <v>7.7371200000000015E-2</v>
      </c>
      <c r="C51" s="36">
        <f>(C30*B51)</f>
        <v>112.76428968523638</v>
      </c>
    </row>
    <row r="52" spans="1:3">
      <c r="A52" s="14" t="s">
        <v>55</v>
      </c>
      <c r="B52" s="39">
        <f>B50+B51</f>
        <v>0.27177119999999999</v>
      </c>
      <c r="C52" s="40">
        <f>(C30*B52)</f>
        <v>396.09165070341811</v>
      </c>
    </row>
    <row r="53" spans="1:3">
      <c r="A53" s="14"/>
      <c r="B53" s="35"/>
      <c r="C53" s="43"/>
    </row>
    <row r="54" spans="1:3">
      <c r="A54" s="34" t="s">
        <v>56</v>
      </c>
      <c r="B54" s="35"/>
      <c r="C54" s="43"/>
    </row>
    <row r="55" spans="1:3">
      <c r="A55" s="14" t="s">
        <v>57</v>
      </c>
      <c r="B55" s="35">
        <v>4.1999999999999997E-3</v>
      </c>
      <c r="C55" s="36">
        <f>(C30*B55)</f>
        <v>6.1212701454545444</v>
      </c>
    </row>
    <row r="56" spans="1:3">
      <c r="A56" s="44" t="s">
        <v>58</v>
      </c>
      <c r="B56" s="45">
        <v>2.9999999999999997E-4</v>
      </c>
      <c r="C56" s="36">
        <f>(C30*B56)</f>
        <v>0.43723358181818173</v>
      </c>
    </row>
    <row r="57" spans="1:3">
      <c r="A57" s="14" t="s">
        <v>59</v>
      </c>
      <c r="B57" s="35">
        <v>1E-4</v>
      </c>
      <c r="C57" s="36">
        <f>(C30*B57)</f>
        <v>0.14574452727272727</v>
      </c>
    </row>
    <row r="58" spans="1:3">
      <c r="A58" s="37" t="s">
        <v>60</v>
      </c>
      <c r="B58" s="38">
        <v>1.9800000000000002E-2</v>
      </c>
      <c r="C58" s="36">
        <f>(C30*B58)</f>
        <v>28.857416399999998</v>
      </c>
    </row>
    <row r="59" spans="1:3">
      <c r="A59" s="37" t="s">
        <v>61</v>
      </c>
      <c r="B59" s="38">
        <f>(B42*B58)</f>
        <v>7.8804000000000027E-3</v>
      </c>
      <c r="C59" s="36">
        <f>(C30*B59)</f>
        <v>11.485251727200003</v>
      </c>
    </row>
    <row r="60" spans="1:3">
      <c r="A60" s="37" t="s">
        <v>62</v>
      </c>
      <c r="B60" s="38">
        <f>(B58*8%*40%)</f>
        <v>6.3360000000000011E-4</v>
      </c>
      <c r="C60" s="36">
        <f>(C30*B60)</f>
        <v>0.92343732480000007</v>
      </c>
    </row>
    <row r="61" spans="1:3">
      <c r="A61" s="37" t="s">
        <v>63</v>
      </c>
      <c r="B61" s="38">
        <v>0.04</v>
      </c>
      <c r="C61" s="36">
        <f>(C30*B61)</f>
        <v>58.297810909090906</v>
      </c>
    </row>
    <row r="62" spans="1:3">
      <c r="A62" s="37"/>
      <c r="B62" s="32">
        <f>SUM(B55:B61)</f>
        <v>7.2914000000000007E-2</v>
      </c>
      <c r="C62" s="46">
        <f>SUM(C55:C61)</f>
        <v>106.26816461563635</v>
      </c>
    </row>
    <row r="63" spans="1:3">
      <c r="A63" s="34"/>
      <c r="B63" s="39"/>
      <c r="C63" s="47"/>
    </row>
    <row r="64" spans="1:3">
      <c r="A64" s="34"/>
      <c r="B64" s="39"/>
      <c r="C64" s="25"/>
    </row>
    <row r="65" spans="1:3">
      <c r="A65" s="48" t="s">
        <v>64</v>
      </c>
      <c r="B65" s="49"/>
      <c r="C65" s="25"/>
    </row>
    <row r="66" spans="1:3">
      <c r="A66" s="50" t="s">
        <v>65</v>
      </c>
      <c r="B66" s="51">
        <v>1.38E-2</v>
      </c>
      <c r="C66" s="36">
        <f>(C30*B66)</f>
        <v>20.112744763636361</v>
      </c>
    </row>
    <row r="67" spans="1:3">
      <c r="A67" s="50" t="s">
        <v>66</v>
      </c>
      <c r="B67" s="51">
        <v>1.66E-2</v>
      </c>
      <c r="C67" s="36">
        <f>(C30*B67)</f>
        <v>24.193591527272726</v>
      </c>
    </row>
    <row r="68" spans="1:3">
      <c r="A68" s="50" t="s">
        <v>67</v>
      </c>
      <c r="B68" s="51">
        <v>2.0000000000000001E-4</v>
      </c>
      <c r="C68" s="36">
        <f>(C30*B68)</f>
        <v>0.29148905454545454</v>
      </c>
    </row>
    <row r="69" spans="1:3">
      <c r="A69" s="50" t="s">
        <v>68</v>
      </c>
      <c r="B69" s="51">
        <v>2.8E-3</v>
      </c>
      <c r="C69" s="36">
        <f>(C30*B69)</f>
        <v>4.0808467636363632</v>
      </c>
    </row>
    <row r="70" spans="1:3">
      <c r="A70" s="52" t="s">
        <v>69</v>
      </c>
      <c r="B70" s="53">
        <v>2.9999999999999997E-4</v>
      </c>
      <c r="C70" s="36">
        <f>(C30*B70)</f>
        <v>0.43723358181818173</v>
      </c>
    </row>
    <row r="71" spans="1:3">
      <c r="A71" s="52" t="s">
        <v>70</v>
      </c>
      <c r="B71" s="53">
        <v>6.9999999999999999E-4</v>
      </c>
      <c r="C71" s="36">
        <f>(C30*B71)</f>
        <v>1.0202116909090908</v>
      </c>
    </row>
    <row r="72" spans="1:3">
      <c r="A72" s="54" t="s">
        <v>71</v>
      </c>
      <c r="B72" s="55">
        <v>1.2699999999999999E-2</v>
      </c>
      <c r="C72" s="36">
        <f>(C30*B72)</f>
        <v>18.509554963636361</v>
      </c>
    </row>
    <row r="73" spans="1:3">
      <c r="A73" s="56" t="s">
        <v>72</v>
      </c>
      <c r="B73" s="57">
        <f>SUM(B66:B72)</f>
        <v>4.7100000000000003E-2</v>
      </c>
      <c r="C73" s="40">
        <f>(C30*B73)</f>
        <v>68.645672345454543</v>
      </c>
    </row>
    <row r="74" spans="1:3">
      <c r="A74" s="31"/>
      <c r="B74" s="32"/>
      <c r="C74" s="30"/>
    </row>
    <row r="75" spans="1:3">
      <c r="A75" s="58"/>
      <c r="B75" s="59"/>
      <c r="C75" s="36"/>
    </row>
    <row r="76" spans="1:3">
      <c r="A76" s="48" t="s">
        <v>73</v>
      </c>
      <c r="B76" s="60">
        <f>B42+B52+B62+B73</f>
        <v>0.78978520000000008</v>
      </c>
      <c r="C76" s="47">
        <f>(C42+C52+C62+C73)</f>
        <v>1151.065487664509</v>
      </c>
    </row>
    <row r="77" spans="1:3">
      <c r="A77" s="61"/>
      <c r="B77" s="62"/>
      <c r="C77" s="63"/>
    </row>
    <row r="78" spans="1:3">
      <c r="A78" s="61" t="s">
        <v>74</v>
      </c>
      <c r="B78" s="137">
        <f>B76+B42</f>
        <v>1.1877852000000002</v>
      </c>
      <c r="C78" s="138">
        <f>C30+C73+C42+C52+C62</f>
        <v>2608.5107603917813</v>
      </c>
    </row>
    <row r="79" spans="1:3">
      <c r="A79" s="340"/>
      <c r="B79" s="340"/>
      <c r="C79" s="340"/>
    </row>
    <row r="80" spans="1:3">
      <c r="A80" s="2" t="s">
        <v>75</v>
      </c>
      <c r="B80" s="21" t="str">
        <f>B20</f>
        <v>Vlr / % / Hs</v>
      </c>
      <c r="C80" s="22" t="str">
        <f>C20</f>
        <v>POR COLABORADOR</v>
      </c>
    </row>
    <row r="81" spans="1:4">
      <c r="A81" s="44" t="s">
        <v>76</v>
      </c>
      <c r="B81" s="64">
        <v>0</v>
      </c>
      <c r="C81" s="25">
        <f>(B81*30)</f>
        <v>0</v>
      </c>
    </row>
    <row r="82" spans="1:4">
      <c r="A82" s="26" t="s">
        <v>77</v>
      </c>
      <c r="B82" s="45">
        <v>0</v>
      </c>
      <c r="C82" s="25">
        <f>-(B82*C22)</f>
        <v>0</v>
      </c>
    </row>
    <row r="83" spans="1:4">
      <c r="A83" s="14" t="s">
        <v>78</v>
      </c>
      <c r="B83" s="64">
        <v>20.18</v>
      </c>
      <c r="C83" s="25">
        <f>(B83*20)</f>
        <v>403.6</v>
      </c>
    </row>
    <row r="84" spans="1:4">
      <c r="A84" s="14" t="s">
        <v>79</v>
      </c>
      <c r="B84" s="75">
        <v>0.19</v>
      </c>
      <c r="C84" s="76">
        <f>B84*C83</f>
        <v>76.684000000000012</v>
      </c>
      <c r="D84" s="80"/>
    </row>
    <row r="85" spans="1:4">
      <c r="A85" s="34" t="s">
        <v>80</v>
      </c>
      <c r="B85" s="65" t="s">
        <v>9</v>
      </c>
      <c r="C85" s="47">
        <f>C83-C84+C81-C82</f>
        <v>326.916</v>
      </c>
    </row>
    <row r="86" spans="1:4">
      <c r="A86" s="340"/>
      <c r="B86" s="340"/>
      <c r="C86" s="340"/>
    </row>
    <row r="87" spans="1:4">
      <c r="A87" s="2" t="s">
        <v>81</v>
      </c>
      <c r="B87" s="21" t="str">
        <f>B80</f>
        <v>Vlr / % / Hs</v>
      </c>
      <c r="C87" s="22" t="str">
        <f>C20</f>
        <v>POR COLABORADOR</v>
      </c>
    </row>
    <row r="88" spans="1:4">
      <c r="A88" s="44" t="s">
        <v>257</v>
      </c>
      <c r="B88" s="81" t="s">
        <v>242</v>
      </c>
      <c r="C88" s="25">
        <f>UNIFORMES!H22</f>
        <v>14.433333333333332</v>
      </c>
    </row>
    <row r="89" spans="1:4">
      <c r="A89" s="44" t="s">
        <v>82</v>
      </c>
      <c r="B89" s="81" t="s">
        <v>242</v>
      </c>
      <c r="C89" s="25">
        <f>EPI´S!H36</f>
        <v>23.070833333333333</v>
      </c>
    </row>
    <row r="90" spans="1:4">
      <c r="A90" s="26" t="s">
        <v>83</v>
      </c>
      <c r="B90" s="53" t="s">
        <v>9</v>
      </c>
      <c r="C90" s="25">
        <v>0</v>
      </c>
    </row>
    <row r="91" spans="1:4">
      <c r="A91" s="14" t="s">
        <v>84</v>
      </c>
      <c r="B91" s="53" t="s">
        <v>9</v>
      </c>
      <c r="C91" s="25">
        <v>0</v>
      </c>
    </row>
    <row r="92" spans="1:4">
      <c r="A92" s="28" t="s">
        <v>85</v>
      </c>
      <c r="B92" s="55" t="s">
        <v>9</v>
      </c>
      <c r="C92" s="30">
        <v>17.32</v>
      </c>
    </row>
    <row r="93" spans="1:4">
      <c r="A93" s="34" t="s">
        <v>86</v>
      </c>
      <c r="B93" s="82"/>
      <c r="C93" s="47">
        <f>SUM(C88:C92)</f>
        <v>54.824166666666663</v>
      </c>
    </row>
    <row r="94" spans="1:4">
      <c r="A94" s="352"/>
      <c r="B94" s="352"/>
      <c r="C94" s="352"/>
    </row>
    <row r="95" spans="1:4">
      <c r="A95" s="66" t="s">
        <v>87</v>
      </c>
      <c r="B95" s="21" t="s">
        <v>88</v>
      </c>
      <c r="C95" s="22" t="str">
        <f>C87</f>
        <v>POR COLABORADOR</v>
      </c>
    </row>
    <row r="96" spans="1:4">
      <c r="A96" s="14" t="s">
        <v>89</v>
      </c>
      <c r="B96" s="83">
        <f>'RESUMO FINAL '!D24</f>
        <v>0.03</v>
      </c>
      <c r="C96" s="67">
        <f>(C78*B96)</f>
        <v>78.25532281175343</v>
      </c>
    </row>
    <row r="97" spans="1:4">
      <c r="A97" s="14" t="s">
        <v>90</v>
      </c>
      <c r="B97" s="85">
        <f>'RESUMO FINAL '!D25</f>
        <v>0</v>
      </c>
      <c r="C97" s="67">
        <f>(C78*B97)</f>
        <v>0</v>
      </c>
      <c r="D97" s="135"/>
    </row>
    <row r="98" spans="1:4">
      <c r="A98" s="34" t="s">
        <v>91</v>
      </c>
      <c r="B98" s="79">
        <f>SUM(B96:B97)</f>
        <v>0.03</v>
      </c>
      <c r="C98" s="47">
        <f>SUM(C96:C97)</f>
        <v>78.25532281175343</v>
      </c>
    </row>
    <row r="99" spans="1:4">
      <c r="A99" s="68"/>
      <c r="B99" s="344"/>
      <c r="C99" s="344"/>
    </row>
    <row r="100" spans="1:4">
      <c r="A100" s="69" t="s">
        <v>92</v>
      </c>
      <c r="B100" s="21" t="s">
        <v>88</v>
      </c>
      <c r="C100" s="22" t="str">
        <f>C95</f>
        <v>POR COLABORADOR</v>
      </c>
    </row>
    <row r="101" spans="1:4">
      <c r="A101" s="14" t="s">
        <v>93</v>
      </c>
      <c r="B101" s="51">
        <f>'RESUMO FINAL '!D28</f>
        <v>6.4999999999999997E-3</v>
      </c>
      <c r="C101" s="70">
        <f>(C78*B101)</f>
        <v>16.955319942546577</v>
      </c>
    </row>
    <row r="102" spans="1:4">
      <c r="A102" s="26" t="s">
        <v>94</v>
      </c>
      <c r="B102" s="51">
        <f>'RESUMO FINAL '!D27</f>
        <v>0.03</v>
      </c>
      <c r="C102" s="70">
        <f>(C78*B102)</f>
        <v>78.25532281175343</v>
      </c>
    </row>
    <row r="103" spans="1:4">
      <c r="A103" s="26" t="s">
        <v>95</v>
      </c>
      <c r="B103" s="78">
        <v>2.5000000000000001E-2</v>
      </c>
      <c r="C103" s="70">
        <f>(C78*B103)</f>
        <v>65.212769009794542</v>
      </c>
    </row>
    <row r="104" spans="1:4">
      <c r="A104" s="71" t="s">
        <v>96</v>
      </c>
      <c r="B104" s="60">
        <f>SUM(B101:B103)</f>
        <v>6.1499999999999999E-2</v>
      </c>
      <c r="C104" s="72">
        <f>SUM(C101:C103)</f>
        <v>160.42341176409457</v>
      </c>
    </row>
    <row r="105" spans="1:4">
      <c r="A105" s="345"/>
      <c r="B105" s="345"/>
      <c r="C105" s="345"/>
    </row>
    <row r="106" spans="1:4">
      <c r="A106" s="73" t="s">
        <v>97</v>
      </c>
      <c r="B106" s="21" t="str">
        <f>B87</f>
        <v>Vlr / % / Hs</v>
      </c>
      <c r="C106" s="22" t="str">
        <f>C100</f>
        <v>POR COLABORADOR</v>
      </c>
    </row>
    <row r="107" spans="1:4">
      <c r="A107" s="34" t="s">
        <v>98</v>
      </c>
      <c r="B107" s="105"/>
      <c r="C107" s="106">
        <f>C78</f>
        <v>2608.5107603917813</v>
      </c>
    </row>
    <row r="108" spans="1:4">
      <c r="A108" s="23" t="s">
        <v>99</v>
      </c>
      <c r="B108" s="107"/>
      <c r="C108" s="106">
        <f>C85</f>
        <v>326.916</v>
      </c>
    </row>
    <row r="109" spans="1:4">
      <c r="A109" s="23" t="s">
        <v>233</v>
      </c>
      <c r="B109" s="107"/>
      <c r="C109" s="106">
        <f>C93</f>
        <v>54.824166666666663</v>
      </c>
    </row>
    <row r="110" spans="1:4">
      <c r="A110" s="23" t="s">
        <v>101</v>
      </c>
      <c r="B110" s="107"/>
      <c r="C110" s="106">
        <f>C98</f>
        <v>78.25532281175343</v>
      </c>
    </row>
    <row r="111" spans="1:4">
      <c r="A111" s="23" t="s">
        <v>102</v>
      </c>
      <c r="B111" s="107"/>
      <c r="C111" s="106">
        <f>C104</f>
        <v>160.42341176409457</v>
      </c>
    </row>
    <row r="112" spans="1:4">
      <c r="A112" s="346"/>
      <c r="B112" s="346"/>
      <c r="C112" s="346"/>
    </row>
    <row r="113" spans="1:3">
      <c r="A113" s="347" t="s">
        <v>103</v>
      </c>
      <c r="B113" s="347"/>
      <c r="C113" s="108">
        <f>SUM(C107:C111)</f>
        <v>3228.9296616342963</v>
      </c>
    </row>
    <row r="114" spans="1:3">
      <c r="A114" s="109"/>
      <c r="B114" s="74"/>
      <c r="C114" s="74"/>
    </row>
    <row r="115" spans="1:3">
      <c r="A115" s="110" t="s">
        <v>104</v>
      </c>
      <c r="B115" s="111"/>
      <c r="C115" s="22" t="str">
        <f>C106</f>
        <v>POR COLABORADOR</v>
      </c>
    </row>
    <row r="116" spans="1:3">
      <c r="A116" s="112" t="s">
        <v>105</v>
      </c>
      <c r="B116" s="113">
        <v>12</v>
      </c>
      <c r="C116" s="114">
        <f>C113*B116</f>
        <v>38747.155939611555</v>
      </c>
    </row>
    <row r="119" spans="1:3">
      <c r="A119" t="s">
        <v>196</v>
      </c>
    </row>
    <row r="120" spans="1:3">
      <c r="A120" s="77" t="s">
        <v>197</v>
      </c>
    </row>
  </sheetData>
  <sheetProtection password="B391" sheet="1" objects="1" scenarios="1"/>
  <mergeCells count="10">
    <mergeCell ref="A105:C105"/>
    <mergeCell ref="A112:C112"/>
    <mergeCell ref="A113:B113"/>
    <mergeCell ref="A1:C1"/>
    <mergeCell ref="A2:C2"/>
    <mergeCell ref="A12:C12"/>
    <mergeCell ref="A79:C79"/>
    <mergeCell ref="A86:C86"/>
    <mergeCell ref="A94:C94"/>
    <mergeCell ref="B99:C99"/>
  </mergeCells>
  <pageMargins left="0.511811024" right="0.511811024" top="0.78740157499999996" bottom="0.78740157499999996" header="0.31496062000000002" footer="0.31496062000000002"/>
  <pageSetup paperSize="9" scale="3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>
    <pageSetUpPr fitToPage="1"/>
  </sheetPr>
  <dimension ref="A1:D119"/>
  <sheetViews>
    <sheetView workbookViewId="0">
      <selection sqref="A1:C1"/>
    </sheetView>
  </sheetViews>
  <sheetFormatPr defaultRowHeight="15"/>
  <cols>
    <col min="1" max="1" width="84.7109375" bestFit="1" customWidth="1"/>
    <col min="2" max="2" width="14.28515625" bestFit="1" customWidth="1"/>
    <col min="3" max="3" width="42.85546875" bestFit="1" customWidth="1"/>
    <col min="4" max="4" width="97.7109375" bestFit="1" customWidth="1"/>
  </cols>
  <sheetData>
    <row r="1" spans="1:3" ht="90" customHeight="1">
      <c r="A1" s="348" t="s">
        <v>293</v>
      </c>
      <c r="B1" s="358"/>
      <c r="C1" s="359"/>
    </row>
    <row r="2" spans="1:3" ht="15.75" thickBot="1">
      <c r="A2" s="351" t="s">
        <v>0</v>
      </c>
      <c r="B2" s="351"/>
      <c r="C2" s="351"/>
    </row>
    <row r="3" spans="1:3" ht="15.75" thickBot="1">
      <c r="A3" s="1"/>
      <c r="B3" s="1"/>
      <c r="C3" s="1"/>
    </row>
    <row r="4" spans="1:3">
      <c r="A4" s="127" t="s">
        <v>1</v>
      </c>
      <c r="B4" s="122"/>
      <c r="C4" s="130" t="str">
        <f>'RESUMO FINAL '!C32:D32</f>
        <v>CUMULATIVA (LUCRO PRESUMIDO)</v>
      </c>
    </row>
    <row r="5" spans="1:3">
      <c r="A5" s="2" t="s">
        <v>3</v>
      </c>
      <c r="B5" s="3" t="s">
        <v>4</v>
      </c>
      <c r="C5" s="3" t="s">
        <v>5</v>
      </c>
    </row>
    <row r="6" spans="1:3">
      <c r="A6" s="4" t="s">
        <v>6</v>
      </c>
      <c r="B6" s="5"/>
      <c r="C6" s="6"/>
    </row>
    <row r="7" spans="1:3">
      <c r="A7" s="7" t="s">
        <v>7</v>
      </c>
      <c r="B7" s="124">
        <v>6</v>
      </c>
      <c r="C7" s="8" t="s">
        <v>108</v>
      </c>
    </row>
    <row r="8" spans="1:3" ht="25.5">
      <c r="A8" s="9" t="s">
        <v>8</v>
      </c>
      <c r="B8" s="125" t="s">
        <v>9</v>
      </c>
      <c r="C8" s="10" t="s">
        <v>107</v>
      </c>
    </row>
    <row r="9" spans="1:3">
      <c r="A9" s="7" t="s">
        <v>11</v>
      </c>
      <c r="B9" s="126">
        <v>150</v>
      </c>
      <c r="C9" s="8" t="s">
        <v>273</v>
      </c>
    </row>
    <row r="10" spans="1:3">
      <c r="A10" s="7" t="s">
        <v>12</v>
      </c>
      <c r="B10" s="126">
        <v>4</v>
      </c>
      <c r="C10" s="94" t="s">
        <v>200</v>
      </c>
    </row>
    <row r="11" spans="1:3">
      <c r="A11" s="7" t="s">
        <v>14</v>
      </c>
      <c r="B11" s="126">
        <v>4</v>
      </c>
      <c r="C11" s="94" t="s">
        <v>200</v>
      </c>
    </row>
    <row r="12" spans="1:3">
      <c r="A12" s="339"/>
      <c r="B12" s="339"/>
      <c r="C12" s="339"/>
    </row>
    <row r="13" spans="1:3">
      <c r="A13" s="11" t="s">
        <v>15</v>
      </c>
      <c r="B13" s="12"/>
      <c r="C13" s="13"/>
    </row>
    <row r="14" spans="1:3">
      <c r="A14" s="14" t="s">
        <v>16</v>
      </c>
      <c r="B14" s="128"/>
      <c r="C14" s="129">
        <v>1314.09</v>
      </c>
    </row>
    <row r="15" spans="1:3">
      <c r="A15" s="14" t="s">
        <v>17</v>
      </c>
      <c r="B15" s="15"/>
      <c r="C15" s="8" t="s">
        <v>18</v>
      </c>
    </row>
    <row r="16" spans="1:3">
      <c r="A16" s="14" t="s">
        <v>19</v>
      </c>
      <c r="B16" s="15"/>
      <c r="C16" s="6" t="s">
        <v>20</v>
      </c>
    </row>
    <row r="17" spans="1:3">
      <c r="A17" s="14" t="s">
        <v>21</v>
      </c>
      <c r="B17" s="15"/>
      <c r="C17" s="16">
        <v>44562</v>
      </c>
    </row>
    <row r="18" spans="1:3">
      <c r="A18" s="14" t="s">
        <v>22</v>
      </c>
      <c r="B18" s="17"/>
      <c r="C18" s="18" t="s">
        <v>23</v>
      </c>
    </row>
    <row r="19" spans="1:3">
      <c r="A19" s="7"/>
      <c r="B19" s="19"/>
      <c r="C19" s="6"/>
    </row>
    <row r="20" spans="1:3">
      <c r="A20" s="20" t="s">
        <v>24</v>
      </c>
      <c r="B20" s="21" t="s">
        <v>25</v>
      </c>
      <c r="C20" s="22" t="s">
        <v>26</v>
      </c>
    </row>
    <row r="21" spans="1:3">
      <c r="A21" s="23" t="s">
        <v>27</v>
      </c>
      <c r="B21" s="24"/>
      <c r="C21" s="25"/>
    </row>
    <row r="22" spans="1:3">
      <c r="A22" s="26" t="s">
        <v>28</v>
      </c>
      <c r="B22" s="27">
        <v>150</v>
      </c>
      <c r="C22" s="25">
        <f>C14/220*B22</f>
        <v>895.97045454545446</v>
      </c>
    </row>
    <row r="23" spans="1:3">
      <c r="A23" s="26" t="s">
        <v>29</v>
      </c>
      <c r="B23" s="27">
        <v>20</v>
      </c>
      <c r="C23" s="25">
        <f>C14*B23%</f>
        <v>262.81799999999998</v>
      </c>
    </row>
    <row r="24" spans="1:3">
      <c r="A24" s="26" t="s">
        <v>30</v>
      </c>
      <c r="B24" s="27">
        <v>0</v>
      </c>
      <c r="C24" s="25">
        <f>C22*B24%</f>
        <v>0</v>
      </c>
    </row>
    <row r="25" spans="1:3">
      <c r="A25" s="26" t="s">
        <v>31</v>
      </c>
      <c r="B25" s="27">
        <v>0</v>
      </c>
      <c r="C25" s="25">
        <f>(((C22+C23+C24)/B22)*0.2)*B25</f>
        <v>0</v>
      </c>
    </row>
    <row r="26" spans="1:3">
      <c r="A26" s="28" t="s">
        <v>32</v>
      </c>
      <c r="B26" s="27">
        <v>0</v>
      </c>
      <c r="C26" s="25">
        <f>((((C22+C23+C24)/B22)*1.5)*B26)+((B26/30*4)*(C22+C23+C24)/B22)*1.5</f>
        <v>0</v>
      </c>
    </row>
    <row r="27" spans="1:3">
      <c r="A27" s="28" t="s">
        <v>33</v>
      </c>
      <c r="B27" s="27">
        <v>0</v>
      </c>
      <c r="C27" s="25">
        <f>(((C22+C23+C24)/B22)*2)*B27+((B27/30*4)*(C22+C23+C24)/B22)*2</f>
        <v>0</v>
      </c>
    </row>
    <row r="28" spans="1:3">
      <c r="A28" s="28" t="s">
        <v>34</v>
      </c>
      <c r="B28" s="27">
        <v>15</v>
      </c>
      <c r="C28" s="25">
        <v>0</v>
      </c>
    </row>
    <row r="29" spans="1:3">
      <c r="A29" s="28" t="s">
        <v>35</v>
      </c>
      <c r="B29" s="29">
        <f>B28*20%</f>
        <v>3</v>
      </c>
      <c r="C29" s="30">
        <v>0</v>
      </c>
    </row>
    <row r="30" spans="1:3">
      <c r="A30" s="31" t="s">
        <v>36</v>
      </c>
      <c r="B30" s="32"/>
      <c r="C30" s="33">
        <f>SUM(C22:C29)</f>
        <v>1158.7884545454544</v>
      </c>
    </row>
    <row r="31" spans="1:3">
      <c r="A31" s="34"/>
      <c r="B31" s="35"/>
      <c r="C31" s="25"/>
    </row>
    <row r="32" spans="1:3">
      <c r="A32" s="23" t="s">
        <v>37</v>
      </c>
      <c r="B32" s="24"/>
      <c r="C32" s="25"/>
    </row>
    <row r="33" spans="1:3">
      <c r="A33" s="26" t="s">
        <v>38</v>
      </c>
      <c r="B33" s="24"/>
      <c r="C33" s="13"/>
    </row>
    <row r="34" spans="1:3">
      <c r="A34" s="14" t="s">
        <v>39</v>
      </c>
      <c r="B34" s="35">
        <v>0.2</v>
      </c>
      <c r="C34" s="36">
        <f t="shared" ref="C34:C41" si="0">C$30*B34</f>
        <v>231.75769090909091</v>
      </c>
    </row>
    <row r="35" spans="1:3">
      <c r="A35" s="14" t="s">
        <v>40</v>
      </c>
      <c r="B35" s="35">
        <v>1.4999999999999999E-2</v>
      </c>
      <c r="C35" s="36">
        <f t="shared" si="0"/>
        <v>17.381826818181818</v>
      </c>
    </row>
    <row r="36" spans="1:3">
      <c r="A36" s="14" t="s">
        <v>41</v>
      </c>
      <c r="B36" s="35">
        <v>0.01</v>
      </c>
      <c r="C36" s="36">
        <f t="shared" si="0"/>
        <v>11.587884545454544</v>
      </c>
    </row>
    <row r="37" spans="1:3">
      <c r="A37" s="14" t="s">
        <v>42</v>
      </c>
      <c r="B37" s="35">
        <v>2E-3</v>
      </c>
      <c r="C37" s="36">
        <f t="shared" si="0"/>
        <v>2.3175769090909091</v>
      </c>
    </row>
    <row r="38" spans="1:3">
      <c r="A38" s="14" t="s">
        <v>43</v>
      </c>
      <c r="B38" s="35">
        <v>2.5000000000000001E-2</v>
      </c>
      <c r="C38" s="36">
        <f t="shared" si="0"/>
        <v>28.969711363636364</v>
      </c>
    </row>
    <row r="39" spans="1:3">
      <c r="A39" s="14" t="s">
        <v>44</v>
      </c>
      <c r="B39" s="35">
        <v>0.08</v>
      </c>
      <c r="C39" s="36">
        <f t="shared" si="0"/>
        <v>92.703076363636356</v>
      </c>
    </row>
    <row r="40" spans="1:3">
      <c r="A40" s="52" t="s">
        <v>45</v>
      </c>
      <c r="B40" s="53">
        <f>'RESUMO FINAL '!D20</f>
        <v>0.06</v>
      </c>
      <c r="C40" s="36">
        <f t="shared" si="0"/>
        <v>69.527307272727271</v>
      </c>
    </row>
    <row r="41" spans="1:3">
      <c r="A41" s="37" t="s">
        <v>46</v>
      </c>
      <c r="B41" s="38">
        <v>6.0000000000000001E-3</v>
      </c>
      <c r="C41" s="36">
        <f t="shared" si="0"/>
        <v>6.9527307272727272</v>
      </c>
    </row>
    <row r="42" spans="1:3">
      <c r="A42" s="34" t="s">
        <v>47</v>
      </c>
      <c r="B42" s="39">
        <f>SUM(B34:B41)</f>
        <v>0.39800000000000008</v>
      </c>
      <c r="C42" s="40">
        <f>TRUNC(SUM(C34:C41),2)</f>
        <v>461.19</v>
      </c>
    </row>
    <row r="43" spans="1:3">
      <c r="A43" s="34"/>
      <c r="B43" s="39"/>
      <c r="C43" s="40"/>
    </row>
    <row r="44" spans="1:3">
      <c r="A44" s="23" t="s">
        <v>48</v>
      </c>
      <c r="B44" s="39"/>
      <c r="C44" s="40"/>
    </row>
    <row r="45" spans="1:3">
      <c r="A45" s="26" t="s">
        <v>38</v>
      </c>
      <c r="B45" s="39"/>
      <c r="C45" s="40"/>
    </row>
    <row r="46" spans="1:3">
      <c r="A46" s="34" t="s">
        <v>49</v>
      </c>
      <c r="B46" s="24"/>
      <c r="C46" s="25"/>
    </row>
    <row r="47" spans="1:3">
      <c r="A47" s="41" t="s">
        <v>50</v>
      </c>
      <c r="B47" s="42">
        <v>8.3299999999999999E-2</v>
      </c>
      <c r="C47" s="43">
        <f t="shared" ref="C47:C52" si="1">C$30*B47</f>
        <v>96.527078263636355</v>
      </c>
    </row>
    <row r="48" spans="1:3">
      <c r="A48" s="41" t="s">
        <v>51</v>
      </c>
      <c r="B48" s="42">
        <v>8.3299999999999999E-2</v>
      </c>
      <c r="C48" s="43">
        <f t="shared" si="1"/>
        <v>96.527078263636355</v>
      </c>
    </row>
    <row r="49" spans="1:3">
      <c r="A49" s="14" t="s">
        <v>52</v>
      </c>
      <c r="B49" s="35">
        <v>2.7799999999999998E-2</v>
      </c>
      <c r="C49" s="43">
        <f t="shared" si="1"/>
        <v>32.214319036363634</v>
      </c>
    </row>
    <row r="50" spans="1:3">
      <c r="A50" s="14" t="s">
        <v>53</v>
      </c>
      <c r="B50" s="39">
        <f>SUM(B47:B49)</f>
        <v>0.19439999999999999</v>
      </c>
      <c r="C50" s="46">
        <f t="shared" si="1"/>
        <v>225.26847556363634</v>
      </c>
    </row>
    <row r="51" spans="1:3">
      <c r="A51" s="14" t="s">
        <v>54</v>
      </c>
      <c r="B51" s="35">
        <f>(B42*B50)</f>
        <v>7.7371200000000015E-2</v>
      </c>
      <c r="C51" s="43">
        <f t="shared" si="1"/>
        <v>89.656853274327275</v>
      </c>
    </row>
    <row r="52" spans="1:3">
      <c r="A52" s="14" t="s">
        <v>55</v>
      </c>
      <c r="B52" s="39">
        <f>B50+B51</f>
        <v>0.27177119999999999</v>
      </c>
      <c r="C52" s="46">
        <f t="shared" si="1"/>
        <v>314.9253288379636</v>
      </c>
    </row>
    <row r="53" spans="1:3">
      <c r="A53" s="14"/>
      <c r="B53" s="35"/>
      <c r="C53" s="43"/>
    </row>
    <row r="54" spans="1:3">
      <c r="A54" s="34" t="s">
        <v>56</v>
      </c>
      <c r="B54" s="35"/>
      <c r="C54" s="43"/>
    </row>
    <row r="55" spans="1:3">
      <c r="A55" s="14" t="s">
        <v>57</v>
      </c>
      <c r="B55" s="35">
        <v>4.1999999999999997E-3</v>
      </c>
      <c r="C55" s="43">
        <f>C$30*B55</f>
        <v>4.8669115090909081</v>
      </c>
    </row>
    <row r="56" spans="1:3">
      <c r="A56" s="44" t="s">
        <v>58</v>
      </c>
      <c r="B56" s="45">
        <v>2.9999999999999997E-4</v>
      </c>
      <c r="C56" s="43">
        <f t="shared" ref="C56:C61" si="2">C$30*B56</f>
        <v>0.34763653636363628</v>
      </c>
    </row>
    <row r="57" spans="1:3">
      <c r="A57" s="14" t="s">
        <v>59</v>
      </c>
      <c r="B57" s="35">
        <v>1E-4</v>
      </c>
      <c r="C57" s="43">
        <f t="shared" si="2"/>
        <v>0.11587884545454545</v>
      </c>
    </row>
    <row r="58" spans="1:3">
      <c r="A58" s="37" t="s">
        <v>60</v>
      </c>
      <c r="B58" s="38">
        <v>1.9800000000000002E-2</v>
      </c>
      <c r="C58" s="43">
        <f t="shared" si="2"/>
        <v>22.944011400000001</v>
      </c>
    </row>
    <row r="59" spans="1:3">
      <c r="A59" s="37" t="s">
        <v>61</v>
      </c>
      <c r="B59" s="38">
        <f>(B42*B58)</f>
        <v>7.8804000000000027E-3</v>
      </c>
      <c r="C59" s="43">
        <f t="shared" si="2"/>
        <v>9.1317165372000026</v>
      </c>
    </row>
    <row r="60" spans="1:3">
      <c r="A60" s="37" t="s">
        <v>62</v>
      </c>
      <c r="B60" s="38">
        <f>(B58*8%*40%)</f>
        <v>6.3360000000000011E-4</v>
      </c>
      <c r="C60" s="43">
        <f t="shared" si="2"/>
        <v>0.73420836480000007</v>
      </c>
    </row>
    <row r="61" spans="1:3">
      <c r="A61" s="37" t="s">
        <v>63</v>
      </c>
      <c r="B61" s="38">
        <v>0.04</v>
      </c>
      <c r="C61" s="43">
        <f t="shared" si="2"/>
        <v>46.351538181818178</v>
      </c>
    </row>
    <row r="62" spans="1:3">
      <c r="A62" s="37"/>
      <c r="B62" s="32">
        <f>SUM(B55:B61)</f>
        <v>7.2914000000000007E-2</v>
      </c>
      <c r="C62" s="46">
        <f>SUM(C55:C61)</f>
        <v>84.491901374727263</v>
      </c>
    </row>
    <row r="63" spans="1:3">
      <c r="A63" s="34"/>
      <c r="B63" s="39"/>
      <c r="C63" s="47"/>
    </row>
    <row r="64" spans="1:3">
      <c r="A64" s="34"/>
      <c r="B64" s="39"/>
      <c r="C64" s="25"/>
    </row>
    <row r="65" spans="1:3">
      <c r="A65" s="48" t="s">
        <v>64</v>
      </c>
      <c r="B65" s="49"/>
      <c r="C65" s="25"/>
    </row>
    <row r="66" spans="1:3">
      <c r="A66" s="50" t="s">
        <v>65</v>
      </c>
      <c r="B66" s="51">
        <v>1.38E-2</v>
      </c>
      <c r="C66" s="43">
        <f t="shared" ref="C66:C73" si="3">C$30*B66</f>
        <v>15.991280672727271</v>
      </c>
    </row>
    <row r="67" spans="1:3">
      <c r="A67" s="50" t="s">
        <v>66</v>
      </c>
      <c r="B67" s="51">
        <v>1.66E-2</v>
      </c>
      <c r="C67" s="43">
        <f t="shared" si="3"/>
        <v>19.235888345454544</v>
      </c>
    </row>
    <row r="68" spans="1:3">
      <c r="A68" s="50" t="s">
        <v>67</v>
      </c>
      <c r="B68" s="51">
        <v>2.0000000000000001E-4</v>
      </c>
      <c r="C68" s="43">
        <f t="shared" si="3"/>
        <v>0.2317576909090909</v>
      </c>
    </row>
    <row r="69" spans="1:3">
      <c r="A69" s="50" t="s">
        <v>68</v>
      </c>
      <c r="B69" s="51">
        <v>2.8E-3</v>
      </c>
      <c r="C69" s="43">
        <f t="shared" si="3"/>
        <v>3.2446076727272724</v>
      </c>
    </row>
    <row r="70" spans="1:3">
      <c r="A70" s="52" t="s">
        <v>69</v>
      </c>
      <c r="B70" s="53">
        <v>2.9999999999999997E-4</v>
      </c>
      <c r="C70" s="43">
        <f t="shared" si="3"/>
        <v>0.34763653636363628</v>
      </c>
    </row>
    <row r="71" spans="1:3">
      <c r="A71" s="52" t="s">
        <v>70</v>
      </c>
      <c r="B71" s="53">
        <v>6.9999999999999999E-4</v>
      </c>
      <c r="C71" s="43">
        <f t="shared" si="3"/>
        <v>0.81115191818181809</v>
      </c>
    </row>
    <row r="72" spans="1:3">
      <c r="A72" s="54" t="s">
        <v>71</v>
      </c>
      <c r="B72" s="55">
        <v>1.2699999999999999E-2</v>
      </c>
      <c r="C72" s="43">
        <f t="shared" si="3"/>
        <v>14.71661337272727</v>
      </c>
    </row>
    <row r="73" spans="1:3">
      <c r="A73" s="56" t="s">
        <v>72</v>
      </c>
      <c r="B73" s="57">
        <f>SUM(B66:B72)</f>
        <v>4.7100000000000003E-2</v>
      </c>
      <c r="C73" s="46">
        <f t="shared" si="3"/>
        <v>54.578936209090905</v>
      </c>
    </row>
    <row r="74" spans="1:3">
      <c r="A74" s="31"/>
      <c r="B74" s="32"/>
      <c r="C74" s="30"/>
    </row>
    <row r="75" spans="1:3">
      <c r="A75" s="58"/>
      <c r="B75" s="59"/>
      <c r="C75" s="36"/>
    </row>
    <row r="76" spans="1:3">
      <c r="A76" s="48" t="s">
        <v>73</v>
      </c>
      <c r="B76" s="60">
        <f>B42+B52+B62+B73</f>
        <v>0.78978520000000008</v>
      </c>
      <c r="C76" s="47">
        <f>(C42+C52+C62+C73)</f>
        <v>915.18616642178176</v>
      </c>
    </row>
    <row r="77" spans="1:3">
      <c r="A77" s="61"/>
      <c r="B77" s="62"/>
      <c r="C77" s="63"/>
    </row>
    <row r="78" spans="1:3">
      <c r="A78" s="61" t="s">
        <v>74</v>
      </c>
      <c r="B78" s="137">
        <f>B76+B42</f>
        <v>1.1877852000000002</v>
      </c>
      <c r="C78" s="138">
        <f>C30+C73+C42+C52+C62</f>
        <v>2073.9746209672362</v>
      </c>
    </row>
    <row r="79" spans="1:3">
      <c r="A79" s="340"/>
      <c r="B79" s="340"/>
      <c r="C79" s="340"/>
    </row>
    <row r="80" spans="1:3">
      <c r="A80" s="2" t="s">
        <v>75</v>
      </c>
      <c r="B80" s="21" t="str">
        <f>B20</f>
        <v>Vlr / % / Hs</v>
      </c>
      <c r="C80" s="22" t="str">
        <f>C20</f>
        <v>POR COLABORADOR</v>
      </c>
    </row>
    <row r="81" spans="1:3">
      <c r="A81" s="44" t="s">
        <v>76</v>
      </c>
      <c r="B81" s="64">
        <v>0</v>
      </c>
      <c r="C81" s="25">
        <f>(B81*30)</f>
        <v>0</v>
      </c>
    </row>
    <row r="82" spans="1:3">
      <c r="A82" s="26" t="s">
        <v>77</v>
      </c>
      <c r="B82" s="45">
        <v>0</v>
      </c>
      <c r="C82" s="25">
        <f>-(B82*C22)</f>
        <v>0</v>
      </c>
    </row>
    <row r="83" spans="1:3">
      <c r="A83" s="14" t="s">
        <v>234</v>
      </c>
      <c r="B83" s="64">
        <v>20.18</v>
      </c>
      <c r="C83" s="25">
        <f>B83*20</f>
        <v>403.6</v>
      </c>
    </row>
    <row r="84" spans="1:3">
      <c r="A84" s="14" t="s">
        <v>79</v>
      </c>
      <c r="B84" s="75">
        <v>0.19</v>
      </c>
      <c r="C84" s="76">
        <f>B84*C83</f>
        <v>76.684000000000012</v>
      </c>
    </row>
    <row r="85" spans="1:3">
      <c r="A85" s="34" t="s">
        <v>80</v>
      </c>
      <c r="B85" s="65" t="s">
        <v>9</v>
      </c>
      <c r="C85" s="47">
        <f>C81-C82+C83-C84</f>
        <v>326.916</v>
      </c>
    </row>
    <row r="86" spans="1:3">
      <c r="A86" s="340"/>
      <c r="B86" s="340"/>
      <c r="C86" s="340"/>
    </row>
    <row r="87" spans="1:3">
      <c r="A87" s="2" t="s">
        <v>81</v>
      </c>
      <c r="B87" s="21" t="str">
        <f>B80</f>
        <v>Vlr / % / Hs</v>
      </c>
      <c r="C87" s="22" t="str">
        <f>C20</f>
        <v>POR COLABORADOR</v>
      </c>
    </row>
    <row r="88" spans="1:3">
      <c r="A88" s="44" t="s">
        <v>257</v>
      </c>
      <c r="B88" s="81" t="s">
        <v>242</v>
      </c>
      <c r="C88" s="25">
        <f>UNIFORMES!H30</f>
        <v>14.433333333333332</v>
      </c>
    </row>
    <row r="89" spans="1:3">
      <c r="A89" s="44" t="s">
        <v>82</v>
      </c>
      <c r="B89" s="81" t="s">
        <v>242</v>
      </c>
      <c r="C89" s="25">
        <f>EPI´S!H47</f>
        <v>23.070833333333333</v>
      </c>
    </row>
    <row r="90" spans="1:3">
      <c r="A90" s="26" t="s">
        <v>83</v>
      </c>
      <c r="B90" s="53" t="s">
        <v>9</v>
      </c>
      <c r="C90" s="25">
        <v>0</v>
      </c>
    </row>
    <row r="91" spans="1:3">
      <c r="A91" s="14" t="s">
        <v>84</v>
      </c>
      <c r="B91" s="53" t="s">
        <v>9</v>
      </c>
      <c r="C91" s="25">
        <v>0</v>
      </c>
    </row>
    <row r="92" spans="1:3">
      <c r="A92" s="28" t="s">
        <v>85</v>
      </c>
      <c r="B92" s="55" t="s">
        <v>9</v>
      </c>
      <c r="C92" s="30">
        <v>17.32</v>
      </c>
    </row>
    <row r="93" spans="1:3">
      <c r="A93" s="34" t="s">
        <v>86</v>
      </c>
      <c r="B93" s="82"/>
      <c r="C93" s="47">
        <f>SUM(C88:C92)</f>
        <v>54.824166666666663</v>
      </c>
    </row>
    <row r="94" spans="1:3">
      <c r="A94" s="352"/>
      <c r="B94" s="352"/>
      <c r="C94" s="352"/>
    </row>
    <row r="95" spans="1:3">
      <c r="A95" s="66" t="s">
        <v>87</v>
      </c>
      <c r="B95" s="21" t="s">
        <v>88</v>
      </c>
      <c r="C95" s="22" t="str">
        <f>C87</f>
        <v>POR COLABORADOR</v>
      </c>
    </row>
    <row r="96" spans="1:3">
      <c r="A96" s="14" t="s">
        <v>89</v>
      </c>
      <c r="B96" s="83">
        <f>'RESUMO FINAL '!D24</f>
        <v>0.03</v>
      </c>
      <c r="C96" s="84">
        <f>C78*B96</f>
        <v>62.219238629017084</v>
      </c>
    </row>
    <row r="97" spans="1:4">
      <c r="A97" s="14" t="s">
        <v>90</v>
      </c>
      <c r="B97" s="85">
        <f>'RESUMO FINAL '!D25</f>
        <v>0</v>
      </c>
      <c r="C97" s="86">
        <f>C78*B97</f>
        <v>0</v>
      </c>
      <c r="D97" s="135"/>
    </row>
    <row r="98" spans="1:4">
      <c r="A98" s="34" t="s">
        <v>91</v>
      </c>
      <c r="B98" s="79">
        <v>0.2</v>
      </c>
      <c r="C98" s="47">
        <f>SUM(C96:C97)</f>
        <v>62.219238629017084</v>
      </c>
    </row>
    <row r="99" spans="1:4">
      <c r="A99" s="68"/>
      <c r="B99" s="344"/>
      <c r="C99" s="344"/>
    </row>
    <row r="100" spans="1:4">
      <c r="A100" s="69" t="s">
        <v>92</v>
      </c>
      <c r="B100" s="21" t="s">
        <v>88</v>
      </c>
      <c r="C100" s="22" t="str">
        <f>C95</f>
        <v>POR COLABORADOR</v>
      </c>
    </row>
    <row r="101" spans="1:4">
      <c r="A101" s="14" t="s">
        <v>93</v>
      </c>
      <c r="B101" s="51">
        <f>'RESUMO FINAL '!D28</f>
        <v>6.4999999999999997E-3</v>
      </c>
      <c r="C101" s="25">
        <f>C$78*B101</f>
        <v>13.480835036287035</v>
      </c>
    </row>
    <row r="102" spans="1:4">
      <c r="A102" s="26" t="s">
        <v>94</v>
      </c>
      <c r="B102" s="51">
        <f>'RESUMO FINAL '!D27</f>
        <v>0.03</v>
      </c>
      <c r="C102" s="25">
        <f t="shared" ref="C102:C103" si="4">C$78*B102</f>
        <v>62.219238629017084</v>
      </c>
    </row>
    <row r="103" spans="1:4">
      <c r="A103" s="26" t="s">
        <v>95</v>
      </c>
      <c r="B103" s="78">
        <v>2.5000000000000001E-2</v>
      </c>
      <c r="C103" s="25">
        <f t="shared" si="4"/>
        <v>51.849365524180911</v>
      </c>
    </row>
    <row r="104" spans="1:4">
      <c r="A104" s="71" t="s">
        <v>96</v>
      </c>
      <c r="B104" s="60">
        <f>SUM(B101:B103)</f>
        <v>6.1499999999999999E-2</v>
      </c>
      <c r="C104" s="72">
        <f>SUM(C101:C103)</f>
        <v>127.54943918948503</v>
      </c>
    </row>
    <row r="105" spans="1:4">
      <c r="A105" s="345"/>
      <c r="B105" s="345"/>
      <c r="C105" s="345"/>
    </row>
    <row r="106" spans="1:4">
      <c r="A106" s="73" t="s">
        <v>97</v>
      </c>
      <c r="B106" s="21" t="str">
        <f>B87</f>
        <v>Vlr / % / Hs</v>
      </c>
      <c r="C106" s="22" t="str">
        <f>C100</f>
        <v>POR COLABORADOR</v>
      </c>
    </row>
    <row r="107" spans="1:4">
      <c r="A107" s="34" t="s">
        <v>98</v>
      </c>
      <c r="B107" s="105"/>
      <c r="C107" s="131">
        <f>C78</f>
        <v>2073.9746209672362</v>
      </c>
    </row>
    <row r="108" spans="1:4">
      <c r="A108" s="23" t="s">
        <v>99</v>
      </c>
      <c r="B108" s="53"/>
      <c r="C108" s="131">
        <f>C85</f>
        <v>326.916</v>
      </c>
    </row>
    <row r="109" spans="1:4">
      <c r="A109" s="23" t="s">
        <v>100</v>
      </c>
      <c r="B109" s="53"/>
      <c r="C109" s="131">
        <f>C93</f>
        <v>54.824166666666663</v>
      </c>
    </row>
    <row r="110" spans="1:4">
      <c r="A110" s="23" t="s">
        <v>101</v>
      </c>
      <c r="B110" s="53"/>
      <c r="C110" s="131">
        <f>C98</f>
        <v>62.219238629017084</v>
      </c>
    </row>
    <row r="111" spans="1:4">
      <c r="A111" s="23" t="s">
        <v>102</v>
      </c>
      <c r="B111" s="53"/>
      <c r="C111" s="131">
        <f>C104</f>
        <v>127.54943918948503</v>
      </c>
    </row>
    <row r="112" spans="1:4">
      <c r="A112" s="346"/>
      <c r="B112" s="346"/>
      <c r="C112" s="346"/>
    </row>
    <row r="113" spans="1:3">
      <c r="A113" s="347" t="s">
        <v>103</v>
      </c>
      <c r="B113" s="347"/>
      <c r="C113" s="108">
        <f>C107+C108+C109+C110+C111</f>
        <v>2645.4834654524052</v>
      </c>
    </row>
    <row r="114" spans="1:3">
      <c r="A114" s="109"/>
      <c r="B114" s="74"/>
      <c r="C114" s="74"/>
    </row>
    <row r="115" spans="1:3">
      <c r="A115" s="110" t="s">
        <v>104</v>
      </c>
      <c r="B115" s="111"/>
      <c r="C115" s="22" t="str">
        <f>C106</f>
        <v>POR COLABORADOR</v>
      </c>
    </row>
    <row r="116" spans="1:3">
      <c r="A116" s="112" t="s">
        <v>105</v>
      </c>
      <c r="B116" s="113">
        <v>12</v>
      </c>
      <c r="C116" s="114">
        <f>C113*B116</f>
        <v>31745.801585428861</v>
      </c>
    </row>
    <row r="118" spans="1:3">
      <c r="A118" t="s">
        <v>196</v>
      </c>
    </row>
    <row r="119" spans="1:3">
      <c r="A119" t="s">
        <v>197</v>
      </c>
    </row>
  </sheetData>
  <sheetProtection password="B391" sheet="1" objects="1" scenarios="1"/>
  <mergeCells count="10">
    <mergeCell ref="B99:C99"/>
    <mergeCell ref="A105:C105"/>
    <mergeCell ref="A112:C112"/>
    <mergeCell ref="A113:B113"/>
    <mergeCell ref="A1:C1"/>
    <mergeCell ref="A2:C2"/>
    <mergeCell ref="A12:C12"/>
    <mergeCell ref="A79:C79"/>
    <mergeCell ref="A86:C86"/>
    <mergeCell ref="A94:C94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pageSetUpPr fitToPage="1"/>
  </sheetPr>
  <dimension ref="A1:D120"/>
  <sheetViews>
    <sheetView zoomScaleNormal="100" workbookViewId="0">
      <selection sqref="A1:C1"/>
    </sheetView>
  </sheetViews>
  <sheetFormatPr defaultRowHeight="15"/>
  <cols>
    <col min="1" max="1" width="84.7109375" bestFit="1" customWidth="1"/>
    <col min="2" max="2" width="14.28515625" bestFit="1" customWidth="1"/>
    <col min="3" max="3" width="41.140625" bestFit="1" customWidth="1"/>
    <col min="4" max="4" width="97.7109375" bestFit="1" customWidth="1"/>
  </cols>
  <sheetData>
    <row r="1" spans="1:3" ht="90" customHeight="1">
      <c r="A1" s="348" t="s">
        <v>293</v>
      </c>
      <c r="B1" s="353"/>
      <c r="C1" s="354"/>
    </row>
    <row r="2" spans="1:3" ht="15.75" thickBot="1">
      <c r="A2" s="355" t="s">
        <v>0</v>
      </c>
      <c r="B2" s="356"/>
      <c r="C2" s="357"/>
    </row>
    <row r="3" spans="1:3" ht="15.75" thickBot="1">
      <c r="A3" s="1"/>
      <c r="B3" s="1"/>
      <c r="C3" s="1"/>
    </row>
    <row r="4" spans="1:3">
      <c r="A4" s="127" t="s">
        <v>1</v>
      </c>
      <c r="B4" s="122"/>
      <c r="C4" s="123" t="str">
        <f>'RESUMO FINAL '!C32:D32</f>
        <v>CUMULATIVA (LUCRO PRESUMIDO)</v>
      </c>
    </row>
    <row r="5" spans="1:3">
      <c r="A5" s="2" t="s">
        <v>3</v>
      </c>
      <c r="B5" s="3" t="s">
        <v>4</v>
      </c>
      <c r="C5" s="3" t="s">
        <v>5</v>
      </c>
    </row>
    <row r="6" spans="1:3">
      <c r="A6" s="4" t="s">
        <v>6</v>
      </c>
      <c r="B6" s="5"/>
      <c r="C6" s="6"/>
    </row>
    <row r="7" spans="1:3">
      <c r="A7" s="7" t="s">
        <v>7</v>
      </c>
      <c r="B7" s="124">
        <v>8</v>
      </c>
      <c r="C7" s="8" t="s">
        <v>109</v>
      </c>
    </row>
    <row r="8" spans="1:3" ht="38.25">
      <c r="A8" s="9" t="s">
        <v>8</v>
      </c>
      <c r="B8" s="125" t="s">
        <v>9</v>
      </c>
      <c r="C8" s="10" t="s">
        <v>10</v>
      </c>
    </row>
    <row r="9" spans="1:3">
      <c r="A9" s="7" t="s">
        <v>11</v>
      </c>
      <c r="B9" s="126">
        <v>200</v>
      </c>
      <c r="C9" s="8" t="s">
        <v>112</v>
      </c>
    </row>
    <row r="10" spans="1:3">
      <c r="A10" s="7" t="s">
        <v>12</v>
      </c>
      <c r="B10" s="126">
        <v>6</v>
      </c>
      <c r="C10" s="94" t="s">
        <v>201</v>
      </c>
    </row>
    <row r="11" spans="1:3">
      <c r="A11" s="7" t="s">
        <v>14</v>
      </c>
      <c r="B11" s="126">
        <v>6</v>
      </c>
      <c r="C11" s="94" t="s">
        <v>201</v>
      </c>
    </row>
    <row r="12" spans="1:3">
      <c r="A12" s="339"/>
      <c r="B12" s="339"/>
      <c r="C12" s="339"/>
    </row>
    <row r="13" spans="1:3">
      <c r="A13" s="11" t="s">
        <v>15</v>
      </c>
      <c r="B13" s="12"/>
      <c r="C13" s="13"/>
    </row>
    <row r="14" spans="1:3">
      <c r="A14" s="14" t="s">
        <v>16</v>
      </c>
      <c r="B14" s="128"/>
      <c r="C14" s="129">
        <v>1314.09</v>
      </c>
    </row>
    <row r="15" spans="1:3">
      <c r="A15" s="14" t="s">
        <v>17</v>
      </c>
      <c r="B15" s="15"/>
      <c r="C15" s="8" t="s">
        <v>110</v>
      </c>
    </row>
    <row r="16" spans="1:3">
      <c r="A16" s="14" t="s">
        <v>19</v>
      </c>
      <c r="B16" s="15"/>
      <c r="C16" s="6" t="s">
        <v>20</v>
      </c>
    </row>
    <row r="17" spans="1:3">
      <c r="A17" s="14" t="s">
        <v>21</v>
      </c>
      <c r="B17" s="15"/>
      <c r="C17" s="16">
        <v>44562</v>
      </c>
    </row>
    <row r="18" spans="1:3">
      <c r="A18" s="14" t="s">
        <v>22</v>
      </c>
      <c r="B18" s="17"/>
      <c r="C18" s="18" t="s">
        <v>23</v>
      </c>
    </row>
    <row r="19" spans="1:3">
      <c r="A19" s="7"/>
      <c r="B19" s="19"/>
      <c r="C19" s="6"/>
    </row>
    <row r="20" spans="1:3">
      <c r="A20" s="20" t="s">
        <v>24</v>
      </c>
      <c r="B20" s="21" t="s">
        <v>25</v>
      </c>
      <c r="C20" s="22" t="s">
        <v>26</v>
      </c>
    </row>
    <row r="21" spans="1:3">
      <c r="A21" s="23" t="s">
        <v>27</v>
      </c>
      <c r="B21" s="24"/>
      <c r="C21" s="25"/>
    </row>
    <row r="22" spans="1:3">
      <c r="A22" s="26" t="s">
        <v>28</v>
      </c>
      <c r="B22" s="27">
        <v>200</v>
      </c>
      <c r="C22" s="25">
        <f>C14/220*B22</f>
        <v>1194.6272727272726</v>
      </c>
    </row>
    <row r="23" spans="1:3">
      <c r="A23" s="26" t="s">
        <v>29</v>
      </c>
      <c r="B23" s="27">
        <v>20</v>
      </c>
      <c r="C23" s="25">
        <f>C14*B23%</f>
        <v>262.81799999999998</v>
      </c>
    </row>
    <row r="24" spans="1:3">
      <c r="A24" s="26" t="s">
        <v>30</v>
      </c>
      <c r="B24" s="27">
        <v>0</v>
      </c>
      <c r="C24" s="25">
        <f>C22*B24%</f>
        <v>0</v>
      </c>
    </row>
    <row r="25" spans="1:3">
      <c r="A25" s="26" t="s">
        <v>31</v>
      </c>
      <c r="B25" s="27">
        <v>0</v>
      </c>
      <c r="C25" s="25">
        <f>(((C22+C23+C24)/B22)*0.2)*B25</f>
        <v>0</v>
      </c>
    </row>
    <row r="26" spans="1:3">
      <c r="A26" s="28" t="s">
        <v>32</v>
      </c>
      <c r="B26" s="27">
        <v>0</v>
      </c>
      <c r="C26" s="25">
        <f>((((C22+C23+C24)/B22)*1.5)*B26)+((B26/30*4)*(C22+C23+C24)/B22)*1.5</f>
        <v>0</v>
      </c>
    </row>
    <row r="27" spans="1:3">
      <c r="A27" s="28" t="s">
        <v>33</v>
      </c>
      <c r="B27" s="27">
        <v>0</v>
      </c>
      <c r="C27" s="25">
        <f>(((C22+C23+C24)/B22)*2)*B27+((B27/30*4)*(C22+C23+C24)/B22)*2</f>
        <v>0</v>
      </c>
    </row>
    <row r="28" spans="1:3">
      <c r="A28" s="28" t="s">
        <v>34</v>
      </c>
      <c r="B28" s="27">
        <v>15</v>
      </c>
      <c r="C28" s="25">
        <v>0</v>
      </c>
    </row>
    <row r="29" spans="1:3">
      <c r="A29" s="28" t="s">
        <v>35</v>
      </c>
      <c r="B29" s="29">
        <f>B28*20%</f>
        <v>3</v>
      </c>
      <c r="C29" s="30">
        <v>0</v>
      </c>
    </row>
    <row r="30" spans="1:3">
      <c r="A30" s="31" t="s">
        <v>36</v>
      </c>
      <c r="B30" s="32"/>
      <c r="C30" s="33">
        <f>SUM(C22:C29)</f>
        <v>1457.4452727272726</v>
      </c>
    </row>
    <row r="31" spans="1:3">
      <c r="A31" s="34"/>
      <c r="B31" s="35"/>
      <c r="C31" s="25"/>
    </row>
    <row r="32" spans="1:3">
      <c r="A32" s="23" t="s">
        <v>37</v>
      </c>
      <c r="B32" s="24"/>
      <c r="C32" s="25"/>
    </row>
    <row r="33" spans="1:4">
      <c r="A33" s="26" t="s">
        <v>38</v>
      </c>
      <c r="B33" s="24"/>
      <c r="C33" s="13"/>
    </row>
    <row r="34" spans="1:4">
      <c r="A34" s="14" t="s">
        <v>39</v>
      </c>
      <c r="B34" s="35">
        <v>0.2</v>
      </c>
      <c r="C34" s="36">
        <f>(C30*B34)</f>
        <v>291.48905454545451</v>
      </c>
    </row>
    <row r="35" spans="1:4">
      <c r="A35" s="14" t="s">
        <v>40</v>
      </c>
      <c r="B35" s="35">
        <v>1.4999999999999999E-2</v>
      </c>
      <c r="C35" s="36">
        <f>(C30*B35)</f>
        <v>21.861679090909089</v>
      </c>
    </row>
    <row r="36" spans="1:4">
      <c r="A36" s="14" t="s">
        <v>41</v>
      </c>
      <c r="B36" s="35">
        <v>0.01</v>
      </c>
      <c r="C36" s="36">
        <f>(C30*B36)</f>
        <v>14.574452727272726</v>
      </c>
    </row>
    <row r="37" spans="1:4">
      <c r="A37" s="14" t="s">
        <v>42</v>
      </c>
      <c r="B37" s="35">
        <v>2E-3</v>
      </c>
      <c r="C37" s="36">
        <f>(C30*B37)</f>
        <v>2.9148905454545453</v>
      </c>
    </row>
    <row r="38" spans="1:4">
      <c r="A38" s="14" t="s">
        <v>43</v>
      </c>
      <c r="B38" s="35">
        <v>2.5000000000000001E-2</v>
      </c>
      <c r="C38" s="36">
        <f>(C30*B38)</f>
        <v>36.436131818181813</v>
      </c>
    </row>
    <row r="39" spans="1:4">
      <c r="A39" s="14" t="s">
        <v>44</v>
      </c>
      <c r="B39" s="35">
        <v>0.08</v>
      </c>
      <c r="C39" s="36">
        <f>(C30*B39)</f>
        <v>116.59562181818181</v>
      </c>
    </row>
    <row r="40" spans="1:4">
      <c r="A40" s="52" t="s">
        <v>45</v>
      </c>
      <c r="B40" s="53">
        <f>'RESUMO FINAL '!D20</f>
        <v>0.06</v>
      </c>
      <c r="C40" s="90">
        <f>(C30*B40)</f>
        <v>87.446716363636355</v>
      </c>
    </row>
    <row r="41" spans="1:4">
      <c r="A41" s="37" t="s">
        <v>46</v>
      </c>
      <c r="B41" s="38">
        <v>6.0000000000000001E-3</v>
      </c>
      <c r="C41" s="36">
        <f>(C30*B41)</f>
        <v>8.7446716363636359</v>
      </c>
    </row>
    <row r="42" spans="1:4">
      <c r="A42" s="34" t="s">
        <v>47</v>
      </c>
      <c r="B42" s="39">
        <f>SUM(B34:B41)</f>
        <v>0.39800000000000008</v>
      </c>
      <c r="C42" s="40">
        <f>SUM(C34:C41)</f>
        <v>580.06321854545445</v>
      </c>
      <c r="D42" s="80"/>
    </row>
    <row r="43" spans="1:4">
      <c r="A43" s="34"/>
      <c r="B43" s="39"/>
      <c r="C43" s="40"/>
    </row>
    <row r="44" spans="1:4">
      <c r="A44" s="23" t="s">
        <v>48</v>
      </c>
      <c r="B44" s="39"/>
      <c r="C44" s="40"/>
    </row>
    <row r="45" spans="1:4">
      <c r="A45" s="26" t="s">
        <v>38</v>
      </c>
      <c r="B45" s="39"/>
      <c r="C45" s="40"/>
    </row>
    <row r="46" spans="1:4">
      <c r="A46" s="34" t="s">
        <v>49</v>
      </c>
      <c r="B46" s="24"/>
      <c r="C46" s="25"/>
    </row>
    <row r="47" spans="1:4">
      <c r="A47" s="41" t="s">
        <v>50</v>
      </c>
      <c r="B47" s="42">
        <v>8.3299999999999999E-2</v>
      </c>
      <c r="C47" s="36">
        <f>(C30*B47)</f>
        <v>121.40519121818181</v>
      </c>
    </row>
    <row r="48" spans="1:4">
      <c r="A48" s="41" t="s">
        <v>51</v>
      </c>
      <c r="B48" s="42">
        <v>8.3299999999999999E-2</v>
      </c>
      <c r="C48" s="36">
        <f>(C30*B48)</f>
        <v>121.40519121818181</v>
      </c>
    </row>
    <row r="49" spans="1:4">
      <c r="A49" s="14" t="s">
        <v>52</v>
      </c>
      <c r="B49" s="35">
        <v>2.7799999999999998E-2</v>
      </c>
      <c r="C49" s="36">
        <f>(C30*B49)</f>
        <v>40.516978581818172</v>
      </c>
    </row>
    <row r="50" spans="1:4">
      <c r="A50" s="14" t="s">
        <v>53</v>
      </c>
      <c r="B50" s="39">
        <f>SUM(B47:B49)</f>
        <v>0.19439999999999999</v>
      </c>
      <c r="C50" s="40">
        <f>(C30*B50)</f>
        <v>283.32736101818176</v>
      </c>
    </row>
    <row r="51" spans="1:4">
      <c r="A51" s="14" t="s">
        <v>54</v>
      </c>
      <c r="B51" s="35">
        <f>(B42*B50)</f>
        <v>7.7371200000000015E-2</v>
      </c>
      <c r="C51" s="36">
        <f>(C30*B51)</f>
        <v>112.76428968523638</v>
      </c>
    </row>
    <row r="52" spans="1:4">
      <c r="A52" s="14" t="s">
        <v>55</v>
      </c>
      <c r="B52" s="39">
        <f>B50+B51</f>
        <v>0.27177119999999999</v>
      </c>
      <c r="C52" s="40">
        <f>(C30*B52)</f>
        <v>396.09165070341811</v>
      </c>
      <c r="D52" s="80"/>
    </row>
    <row r="53" spans="1:4">
      <c r="A53" s="14"/>
      <c r="B53" s="35"/>
      <c r="C53" s="43"/>
    </row>
    <row r="54" spans="1:4">
      <c r="A54" s="34" t="s">
        <v>56</v>
      </c>
      <c r="B54" s="35"/>
      <c r="C54" s="43"/>
    </row>
    <row r="55" spans="1:4">
      <c r="A55" s="14" t="s">
        <v>57</v>
      </c>
      <c r="B55" s="35">
        <v>4.1999999999999997E-3</v>
      </c>
      <c r="C55" s="36">
        <f>(C30*B55)</f>
        <v>6.1212701454545444</v>
      </c>
    </row>
    <row r="56" spans="1:4">
      <c r="A56" s="44" t="s">
        <v>58</v>
      </c>
      <c r="B56" s="45">
        <v>2.9999999999999997E-4</v>
      </c>
      <c r="C56" s="36">
        <f>(C30*B56)</f>
        <v>0.43723358181818173</v>
      </c>
    </row>
    <row r="57" spans="1:4">
      <c r="A57" s="14" t="s">
        <v>59</v>
      </c>
      <c r="B57" s="35">
        <v>1E-4</v>
      </c>
      <c r="C57" s="36">
        <f>(C30*B57)</f>
        <v>0.14574452727272727</v>
      </c>
    </row>
    <row r="58" spans="1:4">
      <c r="A58" s="37" t="s">
        <v>60</v>
      </c>
      <c r="B58" s="38">
        <v>1.9800000000000002E-2</v>
      </c>
      <c r="C58" s="36">
        <f>(C30*B58)</f>
        <v>28.857416399999998</v>
      </c>
    </row>
    <row r="59" spans="1:4">
      <c r="A59" s="37" t="s">
        <v>61</v>
      </c>
      <c r="B59" s="38">
        <f>(B42*B58)</f>
        <v>7.8804000000000027E-3</v>
      </c>
      <c r="C59" s="36">
        <f>(C30*B59)</f>
        <v>11.485251727200003</v>
      </c>
    </row>
    <row r="60" spans="1:4">
      <c r="A60" s="37" t="s">
        <v>62</v>
      </c>
      <c r="B60" s="38">
        <f>(B58*8%*40%)</f>
        <v>6.3360000000000011E-4</v>
      </c>
      <c r="C60" s="36">
        <f>(C30*B60)</f>
        <v>0.92343732480000007</v>
      </c>
    </row>
    <row r="61" spans="1:4">
      <c r="A61" s="37" t="s">
        <v>63</v>
      </c>
      <c r="B61" s="38">
        <v>0.04</v>
      </c>
      <c r="C61" s="36">
        <f>(C30*B61)</f>
        <v>58.297810909090906</v>
      </c>
    </row>
    <row r="62" spans="1:4">
      <c r="A62" s="37"/>
      <c r="B62" s="32">
        <f>SUM(B55:B61)</f>
        <v>7.2914000000000007E-2</v>
      </c>
      <c r="C62" s="46">
        <f>SUM(C55:C61)</f>
        <v>106.26816461563635</v>
      </c>
      <c r="D62" s="80"/>
    </row>
    <row r="63" spans="1:4">
      <c r="A63" s="34"/>
      <c r="B63" s="39"/>
      <c r="C63" s="47"/>
    </row>
    <row r="64" spans="1:4">
      <c r="A64" s="34"/>
      <c r="B64" s="39"/>
      <c r="C64" s="25"/>
    </row>
    <row r="65" spans="1:3">
      <c r="A65" s="48" t="s">
        <v>64</v>
      </c>
      <c r="B65" s="49"/>
      <c r="C65" s="25"/>
    </row>
    <row r="66" spans="1:3">
      <c r="A66" s="50" t="s">
        <v>65</v>
      </c>
      <c r="B66" s="51">
        <v>1.38E-2</v>
      </c>
      <c r="C66" s="36">
        <f>(C30*B66)</f>
        <v>20.112744763636361</v>
      </c>
    </row>
    <row r="67" spans="1:3">
      <c r="A67" s="50" t="s">
        <v>66</v>
      </c>
      <c r="B67" s="51">
        <v>1.66E-2</v>
      </c>
      <c r="C67" s="36">
        <f>(C30*B67)</f>
        <v>24.193591527272726</v>
      </c>
    </row>
    <row r="68" spans="1:3">
      <c r="A68" s="50" t="s">
        <v>67</v>
      </c>
      <c r="B68" s="51">
        <v>2.0000000000000001E-4</v>
      </c>
      <c r="C68" s="36">
        <f>(C30*B68)</f>
        <v>0.29148905454545454</v>
      </c>
    </row>
    <row r="69" spans="1:3">
      <c r="A69" s="50" t="s">
        <v>68</v>
      </c>
      <c r="B69" s="51">
        <v>2.8E-3</v>
      </c>
      <c r="C69" s="36">
        <f>(C30*B69)</f>
        <v>4.0808467636363632</v>
      </c>
    </row>
    <row r="70" spans="1:3">
      <c r="A70" s="52" t="s">
        <v>69</v>
      </c>
      <c r="B70" s="53">
        <v>2.9999999999999997E-4</v>
      </c>
      <c r="C70" s="36">
        <f>(C30*B70)</f>
        <v>0.43723358181818173</v>
      </c>
    </row>
    <row r="71" spans="1:3">
      <c r="A71" s="52" t="s">
        <v>70</v>
      </c>
      <c r="B71" s="53">
        <v>6.9999999999999999E-4</v>
      </c>
      <c r="C71" s="36">
        <f>(C30*B71)</f>
        <v>1.0202116909090908</v>
      </c>
    </row>
    <row r="72" spans="1:3">
      <c r="A72" s="54" t="s">
        <v>71</v>
      </c>
      <c r="B72" s="55">
        <v>1.2699999999999999E-2</v>
      </c>
      <c r="C72" s="36">
        <f>(C30*B72)</f>
        <v>18.509554963636361</v>
      </c>
    </row>
    <row r="73" spans="1:3">
      <c r="A73" s="56" t="s">
        <v>72</v>
      </c>
      <c r="B73" s="57">
        <f>SUM(B66:B72)</f>
        <v>4.7100000000000003E-2</v>
      </c>
      <c r="C73" s="40">
        <f>(C30*B73)</f>
        <v>68.645672345454543</v>
      </c>
    </row>
    <row r="74" spans="1:3">
      <c r="A74" s="31"/>
      <c r="B74" s="32"/>
      <c r="C74" s="30"/>
    </row>
    <row r="75" spans="1:3">
      <c r="A75" s="58"/>
      <c r="B75" s="59"/>
      <c r="C75" s="36"/>
    </row>
    <row r="76" spans="1:3">
      <c r="A76" s="48" t="s">
        <v>73</v>
      </c>
      <c r="B76" s="60">
        <f>B42+B52+B62+B73</f>
        <v>0.78978520000000008</v>
      </c>
      <c r="C76" s="47">
        <f>(C42+C52+C62+C73)</f>
        <v>1151.0687062099635</v>
      </c>
    </row>
    <row r="77" spans="1:3">
      <c r="A77" s="61"/>
      <c r="B77" s="62"/>
      <c r="C77" s="63"/>
    </row>
    <row r="78" spans="1:3">
      <c r="A78" s="61" t="s">
        <v>74</v>
      </c>
      <c r="B78" s="137">
        <f>B76+B42</f>
        <v>1.1877852000000002</v>
      </c>
      <c r="C78" s="138">
        <f>C30+C73+C42+C52+C62</f>
        <v>2608.5139789372361</v>
      </c>
    </row>
    <row r="79" spans="1:3">
      <c r="A79" s="340"/>
      <c r="B79" s="340"/>
      <c r="C79" s="340"/>
    </row>
    <row r="80" spans="1:3">
      <c r="A80" s="2" t="s">
        <v>75</v>
      </c>
      <c r="B80" s="21" t="str">
        <f>B20</f>
        <v>Vlr / % / Hs</v>
      </c>
      <c r="C80" s="22" t="str">
        <f>C20</f>
        <v>POR COLABORADOR</v>
      </c>
    </row>
    <row r="81" spans="1:3">
      <c r="A81" s="44" t="s">
        <v>76</v>
      </c>
      <c r="B81" s="64">
        <v>0</v>
      </c>
      <c r="C81" s="25">
        <f>(B81*30)</f>
        <v>0</v>
      </c>
    </row>
    <row r="82" spans="1:3">
      <c r="A82" s="26" t="s">
        <v>77</v>
      </c>
      <c r="B82" s="45">
        <v>0</v>
      </c>
      <c r="C82" s="25">
        <f>-(B82*C22)</f>
        <v>0</v>
      </c>
    </row>
    <row r="83" spans="1:3">
      <c r="A83" s="14" t="s">
        <v>78</v>
      </c>
      <c r="B83" s="64">
        <v>20.18</v>
      </c>
      <c r="C83" s="25">
        <f>(B83*20)</f>
        <v>403.6</v>
      </c>
    </row>
    <row r="84" spans="1:3">
      <c r="A84" s="14" t="s">
        <v>79</v>
      </c>
      <c r="B84" s="75">
        <v>0.19</v>
      </c>
      <c r="C84" s="76">
        <f>B84*C83</f>
        <v>76.684000000000012</v>
      </c>
    </row>
    <row r="85" spans="1:3">
      <c r="A85" s="34" t="s">
        <v>80</v>
      </c>
      <c r="B85" s="65" t="s">
        <v>9</v>
      </c>
      <c r="C85" s="47">
        <f>C81-C82+C83-C84</f>
        <v>326.916</v>
      </c>
    </row>
    <row r="86" spans="1:3">
      <c r="A86" s="340"/>
      <c r="B86" s="340"/>
      <c r="C86" s="340"/>
    </row>
    <row r="87" spans="1:3">
      <c r="A87" s="2" t="s">
        <v>81</v>
      </c>
      <c r="B87" s="21" t="str">
        <f>B80</f>
        <v>Vlr / % / Hs</v>
      </c>
      <c r="C87" s="22" t="str">
        <f>C20</f>
        <v>POR COLABORADOR</v>
      </c>
    </row>
    <row r="88" spans="1:3">
      <c r="A88" s="44" t="s">
        <v>257</v>
      </c>
      <c r="B88" s="81" t="s">
        <v>242</v>
      </c>
      <c r="C88" s="25">
        <f>UNIFORMES!H39</f>
        <v>62.868333333333325</v>
      </c>
    </row>
    <row r="89" spans="1:3">
      <c r="A89" s="44" t="s">
        <v>82</v>
      </c>
      <c r="B89" s="81" t="s">
        <v>242</v>
      </c>
      <c r="C89" s="25">
        <f>EPISERVENTE</f>
        <v>35.189166666666665</v>
      </c>
    </row>
    <row r="90" spans="1:3">
      <c r="A90" s="26" t="s">
        <v>83</v>
      </c>
      <c r="B90" s="53" t="s">
        <v>9</v>
      </c>
      <c r="C90" s="25">
        <v>0</v>
      </c>
    </row>
    <row r="91" spans="1:3">
      <c r="A91" s="14" t="s">
        <v>84</v>
      </c>
      <c r="B91" s="53" t="s">
        <v>9</v>
      </c>
      <c r="C91" s="25">
        <v>0</v>
      </c>
    </row>
    <row r="92" spans="1:3">
      <c r="A92" s="28" t="s">
        <v>85</v>
      </c>
      <c r="B92" s="55" t="s">
        <v>9</v>
      </c>
      <c r="C92" s="30">
        <v>17.32</v>
      </c>
    </row>
    <row r="93" spans="1:3">
      <c r="A93" s="34" t="s">
        <v>86</v>
      </c>
      <c r="B93" s="82"/>
      <c r="C93" s="47">
        <f>SUM(C88:C92)</f>
        <v>115.3775</v>
      </c>
    </row>
    <row r="94" spans="1:3">
      <c r="A94" s="352"/>
      <c r="B94" s="352"/>
      <c r="C94" s="352"/>
    </row>
    <row r="95" spans="1:3">
      <c r="A95" s="132" t="s">
        <v>87</v>
      </c>
      <c r="B95" s="133" t="s">
        <v>88</v>
      </c>
      <c r="C95" s="134" t="str">
        <f>C87</f>
        <v>POR COLABORADOR</v>
      </c>
    </row>
    <row r="96" spans="1:3">
      <c r="A96" s="14" t="s">
        <v>89</v>
      </c>
      <c r="B96" s="83">
        <f>'RESUMO FINAL '!D24</f>
        <v>0.03</v>
      </c>
      <c r="C96" s="67">
        <f>(C78*B96)</f>
        <v>78.255419368117074</v>
      </c>
    </row>
    <row r="97" spans="1:4">
      <c r="A97" s="14" t="s">
        <v>90</v>
      </c>
      <c r="B97" s="85">
        <f>'RESUMO FINAL '!D25</f>
        <v>0</v>
      </c>
      <c r="C97" s="67">
        <f>(C78*B97)</f>
        <v>0</v>
      </c>
      <c r="D97" s="135"/>
    </row>
    <row r="98" spans="1:4">
      <c r="A98" s="34" t="s">
        <v>91</v>
      </c>
      <c r="B98" s="79">
        <f>SUM(B96:B97)</f>
        <v>0.03</v>
      </c>
      <c r="C98" s="47">
        <f>SUM(C96:C97)</f>
        <v>78.255419368117074</v>
      </c>
    </row>
    <row r="99" spans="1:4">
      <c r="A99" s="68"/>
      <c r="B99" s="344"/>
      <c r="C99" s="344"/>
    </row>
    <row r="100" spans="1:4">
      <c r="A100" s="69" t="s">
        <v>92</v>
      </c>
      <c r="B100" s="21" t="s">
        <v>88</v>
      </c>
      <c r="C100" s="22" t="str">
        <f>C95</f>
        <v>POR COLABORADOR</v>
      </c>
    </row>
    <row r="101" spans="1:4">
      <c r="A101" s="14" t="s">
        <v>93</v>
      </c>
      <c r="B101" s="51">
        <f>'RESUMO FINAL '!D28</f>
        <v>6.4999999999999997E-3</v>
      </c>
      <c r="C101" s="70">
        <f>(C78*B101)</f>
        <v>16.955340863092033</v>
      </c>
    </row>
    <row r="102" spans="1:4">
      <c r="A102" s="26" t="s">
        <v>94</v>
      </c>
      <c r="B102" s="51">
        <f>'RESUMO FINAL '!D27</f>
        <v>0.03</v>
      </c>
      <c r="C102" s="70">
        <f>(C78*B102)</f>
        <v>78.255419368117074</v>
      </c>
    </row>
    <row r="103" spans="1:4">
      <c r="A103" s="26" t="s">
        <v>95</v>
      </c>
      <c r="B103" s="78">
        <v>2.5000000000000001E-2</v>
      </c>
      <c r="C103" s="70">
        <f>(C78*B103)</f>
        <v>65.212849473430907</v>
      </c>
    </row>
    <row r="104" spans="1:4">
      <c r="A104" s="71" t="s">
        <v>96</v>
      </c>
      <c r="B104" s="60">
        <f>SUM(B101:B103)</f>
        <v>6.1499999999999999E-2</v>
      </c>
      <c r="C104" s="72">
        <f>SUM(C101:C103)</f>
        <v>160.42360970464</v>
      </c>
    </row>
    <row r="105" spans="1:4">
      <c r="A105" s="345"/>
      <c r="B105" s="345"/>
      <c r="C105" s="345"/>
    </row>
    <row r="106" spans="1:4">
      <c r="A106" s="73" t="s">
        <v>97</v>
      </c>
      <c r="B106" s="21" t="str">
        <f>B87</f>
        <v>Vlr / % / Hs</v>
      </c>
      <c r="C106" s="22" t="str">
        <f>C100</f>
        <v>POR COLABORADOR</v>
      </c>
    </row>
    <row r="107" spans="1:4">
      <c r="A107" s="34" t="s">
        <v>98</v>
      </c>
      <c r="B107" s="105"/>
      <c r="C107" s="106">
        <f>C78</f>
        <v>2608.5139789372361</v>
      </c>
    </row>
    <row r="108" spans="1:4">
      <c r="A108" s="23" t="s">
        <v>99</v>
      </c>
      <c r="B108" s="53"/>
      <c r="C108" s="106">
        <f>C85</f>
        <v>326.916</v>
      </c>
    </row>
    <row r="109" spans="1:4">
      <c r="A109" s="23" t="s">
        <v>100</v>
      </c>
      <c r="B109" s="53"/>
      <c r="C109" s="106">
        <f>C93</f>
        <v>115.3775</v>
      </c>
    </row>
    <row r="110" spans="1:4">
      <c r="A110" s="23" t="s">
        <v>101</v>
      </c>
      <c r="B110" s="53"/>
      <c r="C110" s="106">
        <f>C98</f>
        <v>78.255419368117074</v>
      </c>
    </row>
    <row r="111" spans="1:4">
      <c r="A111" s="23" t="s">
        <v>253</v>
      </c>
      <c r="B111" s="53"/>
      <c r="C111" s="106">
        <f>'MATERIAL SERV LIMPEZA '!E60/B10</f>
        <v>93.580736111111108</v>
      </c>
    </row>
    <row r="112" spans="1:4">
      <c r="A112" s="23" t="s">
        <v>254</v>
      </c>
      <c r="B112" s="53"/>
      <c r="C112" s="106">
        <f>C104</f>
        <v>160.42360970464</v>
      </c>
    </row>
    <row r="113" spans="1:3">
      <c r="A113" s="346"/>
      <c r="B113" s="346"/>
      <c r="C113" s="346"/>
    </row>
    <row r="114" spans="1:3">
      <c r="A114" s="347" t="s">
        <v>103</v>
      </c>
      <c r="B114" s="347"/>
      <c r="C114" s="108">
        <f>C107+C108+C109+C110+C111+C112</f>
        <v>3383.0672441211045</v>
      </c>
    </row>
    <row r="115" spans="1:3">
      <c r="A115" s="109"/>
      <c r="B115" s="74"/>
      <c r="C115" s="74"/>
    </row>
    <row r="116" spans="1:3">
      <c r="A116" s="110" t="s">
        <v>104</v>
      </c>
      <c r="B116" s="111"/>
      <c r="C116" s="22" t="str">
        <f>C106</f>
        <v>POR COLABORADOR</v>
      </c>
    </row>
    <row r="117" spans="1:3">
      <c r="A117" s="112" t="s">
        <v>105</v>
      </c>
      <c r="B117" s="113">
        <v>12</v>
      </c>
      <c r="C117" s="114">
        <f>C114*B117</f>
        <v>40596.806929453254</v>
      </c>
    </row>
    <row r="119" spans="1:3">
      <c r="A119" t="s">
        <v>258</v>
      </c>
    </row>
    <row r="120" spans="1:3">
      <c r="A120" t="s">
        <v>259</v>
      </c>
    </row>
  </sheetData>
  <sheetProtection password="B391" sheet="1" objects="1" scenarios="1"/>
  <mergeCells count="10">
    <mergeCell ref="B99:C99"/>
    <mergeCell ref="A105:C105"/>
    <mergeCell ref="A113:C113"/>
    <mergeCell ref="A114:B114"/>
    <mergeCell ref="A1:C1"/>
    <mergeCell ref="A2:C2"/>
    <mergeCell ref="A12:C12"/>
    <mergeCell ref="A79:C79"/>
    <mergeCell ref="A86:C86"/>
    <mergeCell ref="A94:C94"/>
  </mergeCells>
  <pageMargins left="0.511811024" right="0.511811024" top="0.78740157499999996" bottom="0.78740157499999996" header="0.31496062000000002" footer="0.31496062000000002"/>
  <pageSetup paperSize="9" scale="3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>
    <pageSetUpPr fitToPage="1"/>
  </sheetPr>
  <dimension ref="A1:D120"/>
  <sheetViews>
    <sheetView workbookViewId="0">
      <selection activeCell="A14" sqref="A14"/>
    </sheetView>
  </sheetViews>
  <sheetFormatPr defaultRowHeight="15"/>
  <cols>
    <col min="1" max="1" width="84.7109375" bestFit="1" customWidth="1"/>
    <col min="2" max="2" width="14.28515625" bestFit="1" customWidth="1"/>
    <col min="3" max="3" width="47" bestFit="1" customWidth="1"/>
    <col min="4" max="4" width="97.7109375" bestFit="1" customWidth="1"/>
  </cols>
  <sheetData>
    <row r="1" spans="1:3" ht="90" customHeight="1">
      <c r="A1" s="348" t="s">
        <v>293</v>
      </c>
      <c r="B1" s="353"/>
      <c r="C1" s="354"/>
    </row>
    <row r="2" spans="1:3" ht="15.75" thickBot="1">
      <c r="A2" s="355" t="s">
        <v>0</v>
      </c>
      <c r="B2" s="356"/>
      <c r="C2" s="357"/>
    </row>
    <row r="3" spans="1:3" ht="15.75" thickBot="1">
      <c r="A3" s="1"/>
      <c r="B3" s="1"/>
      <c r="C3" s="1"/>
    </row>
    <row r="4" spans="1:3">
      <c r="A4" s="127" t="s">
        <v>1</v>
      </c>
      <c r="B4" s="122"/>
      <c r="C4" s="130" t="s">
        <v>2</v>
      </c>
    </row>
    <row r="5" spans="1:3">
      <c r="A5" s="2" t="s">
        <v>3</v>
      </c>
      <c r="B5" s="3" t="s">
        <v>4</v>
      </c>
      <c r="C5" s="3" t="s">
        <v>5</v>
      </c>
    </row>
    <row r="6" spans="1:3">
      <c r="A6" s="4" t="s">
        <v>6</v>
      </c>
      <c r="B6" s="5"/>
      <c r="C6" s="6"/>
    </row>
    <row r="7" spans="1:3">
      <c r="A7" s="7" t="s">
        <v>7</v>
      </c>
      <c r="B7" s="124">
        <v>6</v>
      </c>
      <c r="C7" s="8" t="s">
        <v>247</v>
      </c>
    </row>
    <row r="8" spans="1:3" ht="36.75" customHeight="1">
      <c r="A8" s="9" t="s">
        <v>8</v>
      </c>
      <c r="B8" s="125" t="s">
        <v>9</v>
      </c>
      <c r="C8" s="10" t="s">
        <v>260</v>
      </c>
    </row>
    <row r="9" spans="1:3">
      <c r="A9" s="7" t="s">
        <v>11</v>
      </c>
      <c r="B9" s="126">
        <v>150</v>
      </c>
      <c r="C9" s="8" t="s">
        <v>272</v>
      </c>
    </row>
    <row r="10" spans="1:3">
      <c r="A10" s="7" t="s">
        <v>12</v>
      </c>
      <c r="B10" s="126">
        <v>4</v>
      </c>
      <c r="C10" s="94" t="s">
        <v>200</v>
      </c>
    </row>
    <row r="11" spans="1:3">
      <c r="A11" s="7" t="s">
        <v>14</v>
      </c>
      <c r="B11" s="126">
        <v>4</v>
      </c>
      <c r="C11" s="94" t="s">
        <v>200</v>
      </c>
    </row>
    <row r="12" spans="1:3">
      <c r="A12" s="339"/>
      <c r="B12" s="339"/>
      <c r="C12" s="339"/>
    </row>
    <row r="13" spans="1:3">
      <c r="A13" s="11" t="s">
        <v>15</v>
      </c>
      <c r="B13" s="12"/>
      <c r="C13" s="13"/>
    </row>
    <row r="14" spans="1:3">
      <c r="A14" s="14" t="s">
        <v>16</v>
      </c>
      <c r="B14" s="128"/>
      <c r="C14" s="129">
        <v>1485.67</v>
      </c>
    </row>
    <row r="15" spans="1:3">
      <c r="A15" s="14" t="s">
        <v>17</v>
      </c>
      <c r="B15" s="15"/>
      <c r="C15" s="8" t="s">
        <v>111</v>
      </c>
    </row>
    <row r="16" spans="1:3">
      <c r="A16" s="14" t="s">
        <v>19</v>
      </c>
      <c r="B16" s="15"/>
      <c r="C16" s="6" t="s">
        <v>20</v>
      </c>
    </row>
    <row r="17" spans="1:3">
      <c r="A17" s="14" t="s">
        <v>21</v>
      </c>
      <c r="B17" s="15"/>
      <c r="C17" s="16">
        <v>44562</v>
      </c>
    </row>
    <row r="18" spans="1:3">
      <c r="A18" s="14" t="s">
        <v>22</v>
      </c>
      <c r="B18" s="17"/>
      <c r="C18" s="18" t="s">
        <v>23</v>
      </c>
    </row>
    <row r="19" spans="1:3">
      <c r="A19" s="7"/>
      <c r="B19" s="19"/>
      <c r="C19" s="6"/>
    </row>
    <row r="20" spans="1:3">
      <c r="A20" s="20" t="s">
        <v>24</v>
      </c>
      <c r="B20" s="21" t="s">
        <v>25</v>
      </c>
      <c r="C20" s="22" t="s">
        <v>26</v>
      </c>
    </row>
    <row r="21" spans="1:3">
      <c r="A21" s="23" t="s">
        <v>27</v>
      </c>
      <c r="B21" s="24"/>
      <c r="C21" s="25"/>
    </row>
    <row r="22" spans="1:3">
      <c r="A22" s="26" t="s">
        <v>28</v>
      </c>
      <c r="B22" s="27">
        <f>B9</f>
        <v>150</v>
      </c>
      <c r="C22" s="25">
        <f>C14/220*B22</f>
        <v>1012.9568181818182</v>
      </c>
    </row>
    <row r="23" spans="1:3">
      <c r="A23" s="26" t="s">
        <v>29</v>
      </c>
      <c r="B23" s="27">
        <v>0</v>
      </c>
      <c r="C23" s="25">
        <f>C14*B23%</f>
        <v>0</v>
      </c>
    </row>
    <row r="24" spans="1:3">
      <c r="A24" s="26" t="s">
        <v>30</v>
      </c>
      <c r="B24" s="27">
        <v>0</v>
      </c>
      <c r="C24" s="25">
        <f>C22*B24%</f>
        <v>0</v>
      </c>
    </row>
    <row r="25" spans="1:3">
      <c r="A25" s="26" t="s">
        <v>31</v>
      </c>
      <c r="B25" s="27">
        <v>0</v>
      </c>
      <c r="C25" s="25">
        <f>(((C22+C23+C24)/B22)*0.2)*B25</f>
        <v>0</v>
      </c>
    </row>
    <row r="26" spans="1:3">
      <c r="A26" s="28" t="s">
        <v>32</v>
      </c>
      <c r="B26" s="27">
        <v>0</v>
      </c>
      <c r="C26" s="25">
        <f>((((C22+C23+C24)/B22)*1.5)*B26)+((B26/30*4)*(C22+C23+C24)/B22)*1.5</f>
        <v>0</v>
      </c>
    </row>
    <row r="27" spans="1:3">
      <c r="A27" s="28" t="s">
        <v>33</v>
      </c>
      <c r="B27" s="27">
        <v>0</v>
      </c>
      <c r="C27" s="25">
        <f>(((C22+C23+C24)/B22)*2)*B27+((B27/30*4)*(C22+C23+C24)/B22)*2</f>
        <v>0</v>
      </c>
    </row>
    <row r="28" spans="1:3">
      <c r="A28" s="28" t="s">
        <v>34</v>
      </c>
      <c r="B28" s="27">
        <v>15</v>
      </c>
      <c r="C28" s="25">
        <v>0</v>
      </c>
    </row>
    <row r="29" spans="1:3">
      <c r="A29" s="28" t="s">
        <v>35</v>
      </c>
      <c r="B29" s="29">
        <f>B28*20%</f>
        <v>3</v>
      </c>
      <c r="C29" s="30">
        <v>0</v>
      </c>
    </row>
    <row r="30" spans="1:3">
      <c r="A30" s="31" t="s">
        <v>36</v>
      </c>
      <c r="B30" s="32"/>
      <c r="C30" s="33">
        <f>SUM(C22:C29)</f>
        <v>1012.9568181818182</v>
      </c>
    </row>
    <row r="31" spans="1:3">
      <c r="A31" s="34"/>
      <c r="B31" s="35"/>
      <c r="C31" s="25"/>
    </row>
    <row r="32" spans="1:3">
      <c r="A32" s="23" t="s">
        <v>37</v>
      </c>
      <c r="B32" s="24"/>
      <c r="C32" s="25"/>
    </row>
    <row r="33" spans="1:4">
      <c r="A33" s="26" t="s">
        <v>38</v>
      </c>
      <c r="B33" s="24"/>
      <c r="C33" s="13"/>
    </row>
    <row r="34" spans="1:4">
      <c r="A34" s="14" t="s">
        <v>39</v>
      </c>
      <c r="B34" s="35">
        <v>0.2</v>
      </c>
      <c r="C34" s="36">
        <f>(C30*B34)</f>
        <v>202.59136363636367</v>
      </c>
    </row>
    <row r="35" spans="1:4">
      <c r="A35" s="14" t="s">
        <v>40</v>
      </c>
      <c r="B35" s="35">
        <v>1.4999999999999999E-2</v>
      </c>
      <c r="C35" s="36">
        <f>(C30*B35)</f>
        <v>15.194352272727272</v>
      </c>
    </row>
    <row r="36" spans="1:4">
      <c r="A36" s="14" t="s">
        <v>41</v>
      </c>
      <c r="B36" s="35">
        <v>0.01</v>
      </c>
      <c r="C36" s="36">
        <f>(C30*B36)</f>
        <v>10.129568181818183</v>
      </c>
    </row>
    <row r="37" spans="1:4">
      <c r="A37" s="14" t="s">
        <v>42</v>
      </c>
      <c r="B37" s="35">
        <v>2E-3</v>
      </c>
      <c r="C37" s="36">
        <f>(C30*B37)</f>
        <v>2.0259136363636365</v>
      </c>
    </row>
    <row r="38" spans="1:4">
      <c r="A38" s="14" t="s">
        <v>43</v>
      </c>
      <c r="B38" s="35">
        <v>2.5000000000000001E-2</v>
      </c>
      <c r="C38" s="36">
        <f>(C30*B38)</f>
        <v>25.323920454545458</v>
      </c>
    </row>
    <row r="39" spans="1:4">
      <c r="A39" s="14" t="s">
        <v>44</v>
      </c>
      <c r="B39" s="35">
        <v>0.08</v>
      </c>
      <c r="C39" s="36">
        <f>(C30*B39)</f>
        <v>81.036545454545461</v>
      </c>
    </row>
    <row r="40" spans="1:4">
      <c r="A40" s="52" t="s">
        <v>45</v>
      </c>
      <c r="B40" s="53">
        <f>'RESUMO FINAL '!D20</f>
        <v>0.06</v>
      </c>
      <c r="C40" s="90">
        <f>(C30*B40)</f>
        <v>60.777409090909089</v>
      </c>
    </row>
    <row r="41" spans="1:4">
      <c r="A41" s="37" t="s">
        <v>46</v>
      </c>
      <c r="B41" s="38">
        <v>6.0000000000000001E-3</v>
      </c>
      <c r="C41" s="36">
        <f>(C30*B41)</f>
        <v>6.0777409090909096</v>
      </c>
    </row>
    <row r="42" spans="1:4">
      <c r="A42" s="34" t="s">
        <v>47</v>
      </c>
      <c r="B42" s="39">
        <f>SUM(B34:B41)</f>
        <v>0.39800000000000008</v>
      </c>
      <c r="C42" s="40">
        <f>SUM(C34:C41)</f>
        <v>403.15681363636361</v>
      </c>
      <c r="D42" s="80"/>
    </row>
    <row r="43" spans="1:4">
      <c r="A43" s="34"/>
      <c r="B43" s="39"/>
      <c r="C43" s="40"/>
    </row>
    <row r="44" spans="1:4">
      <c r="A44" s="23" t="s">
        <v>48</v>
      </c>
      <c r="B44" s="39"/>
      <c r="C44" s="40"/>
    </row>
    <row r="45" spans="1:4">
      <c r="A45" s="26" t="s">
        <v>38</v>
      </c>
      <c r="B45" s="39"/>
      <c r="C45" s="40"/>
    </row>
    <row r="46" spans="1:4">
      <c r="A46" s="34" t="s">
        <v>49</v>
      </c>
      <c r="B46" s="24"/>
      <c r="C46" s="25"/>
    </row>
    <row r="47" spans="1:4">
      <c r="A47" s="41" t="s">
        <v>50</v>
      </c>
      <c r="B47" s="42">
        <v>8.3299999999999999E-2</v>
      </c>
      <c r="C47" s="36">
        <f>(C30*B47)</f>
        <v>84.379302954545452</v>
      </c>
    </row>
    <row r="48" spans="1:4">
      <c r="A48" s="41" t="s">
        <v>51</v>
      </c>
      <c r="B48" s="42">
        <v>8.3299999999999999E-2</v>
      </c>
      <c r="C48" s="36">
        <f>(C30*B48)</f>
        <v>84.379302954545452</v>
      </c>
    </row>
    <row r="49" spans="1:4">
      <c r="A49" s="14" t="s">
        <v>52</v>
      </c>
      <c r="B49" s="35">
        <v>2.7799999999999998E-2</v>
      </c>
      <c r="C49" s="36">
        <f>(C30*B49)</f>
        <v>28.160199545454546</v>
      </c>
    </row>
    <row r="50" spans="1:4">
      <c r="A50" s="14" t="s">
        <v>53</v>
      </c>
      <c r="B50" s="39">
        <f>SUM(B47:B49)</f>
        <v>0.19439999999999999</v>
      </c>
      <c r="C50" s="40">
        <f>(C30*B50)</f>
        <v>196.91880545454546</v>
      </c>
    </row>
    <row r="51" spans="1:4">
      <c r="A51" s="14" t="s">
        <v>54</v>
      </c>
      <c r="B51" s="53">
        <f>(B42*B50)</f>
        <v>7.7371200000000015E-2</v>
      </c>
      <c r="C51" s="36">
        <f>(C30*B51)</f>
        <v>78.373684570909106</v>
      </c>
    </row>
    <row r="52" spans="1:4">
      <c r="A52" s="14" t="s">
        <v>55</v>
      </c>
      <c r="B52" s="39">
        <f>B50+B51</f>
        <v>0.27177119999999999</v>
      </c>
      <c r="C52" s="40">
        <f>(C30*B52)</f>
        <v>275.29249002545453</v>
      </c>
    </row>
    <row r="53" spans="1:4">
      <c r="A53" s="14"/>
      <c r="B53" s="35"/>
      <c r="C53" s="43"/>
    </row>
    <row r="54" spans="1:4">
      <c r="A54" s="34" t="s">
        <v>56</v>
      </c>
      <c r="B54" s="35"/>
      <c r="C54" s="43"/>
    </row>
    <row r="55" spans="1:4">
      <c r="A55" s="14" t="s">
        <v>57</v>
      </c>
      <c r="B55" s="35">
        <v>4.1999999999999997E-3</v>
      </c>
      <c r="C55" s="36">
        <f>(C30*B55)</f>
        <v>4.2544186363636367</v>
      </c>
    </row>
    <row r="56" spans="1:4">
      <c r="A56" s="44" t="s">
        <v>58</v>
      </c>
      <c r="B56" s="45">
        <v>2.9999999999999997E-4</v>
      </c>
      <c r="C56" s="36">
        <f>(C30*B56)</f>
        <v>0.30388704545454542</v>
      </c>
    </row>
    <row r="57" spans="1:4">
      <c r="A57" s="14" t="s">
        <v>59</v>
      </c>
      <c r="B57" s="35">
        <v>1E-4</v>
      </c>
      <c r="C57" s="36">
        <f>(C30*B57)</f>
        <v>0.10129568181818183</v>
      </c>
    </row>
    <row r="58" spans="1:4">
      <c r="A58" s="37" t="s">
        <v>60</v>
      </c>
      <c r="B58" s="38">
        <v>1.9800000000000002E-2</v>
      </c>
      <c r="C58" s="36">
        <f>(C30*B58)</f>
        <v>20.056545000000003</v>
      </c>
    </row>
    <row r="59" spans="1:4">
      <c r="A59" s="37" t="s">
        <v>61</v>
      </c>
      <c r="B59" s="38">
        <f>(B42*B58)</f>
        <v>7.8804000000000027E-3</v>
      </c>
      <c r="C59" s="36">
        <f>(C30*B59)</f>
        <v>7.982504910000003</v>
      </c>
    </row>
    <row r="60" spans="1:4">
      <c r="A60" s="37" t="s">
        <v>62</v>
      </c>
      <c r="B60" s="38">
        <f>(B58*8%*40%)</f>
        <v>6.3360000000000011E-4</v>
      </c>
      <c r="C60" s="36">
        <f>(C30*B60)</f>
        <v>0.64180944000000018</v>
      </c>
    </row>
    <row r="61" spans="1:4">
      <c r="A61" s="37" t="s">
        <v>63</v>
      </c>
      <c r="B61" s="38">
        <v>0.04</v>
      </c>
      <c r="C61" s="36">
        <f>(C30*B61)</f>
        <v>40.518272727272731</v>
      </c>
    </row>
    <row r="62" spans="1:4">
      <c r="A62" s="37"/>
      <c r="B62" s="32">
        <f>SUM(B55:B61)</f>
        <v>7.2914000000000007E-2</v>
      </c>
      <c r="C62" s="46">
        <f>SUM(C55:C61)</f>
        <v>73.858733440909106</v>
      </c>
      <c r="D62" s="80"/>
    </row>
    <row r="63" spans="1:4">
      <c r="A63" s="34"/>
      <c r="B63" s="39"/>
      <c r="C63" s="47"/>
    </row>
    <row r="64" spans="1:4">
      <c r="A64" s="34"/>
      <c r="B64" s="39"/>
      <c r="C64" s="25"/>
    </row>
    <row r="65" spans="1:3">
      <c r="A65" s="48" t="s">
        <v>64</v>
      </c>
      <c r="B65" s="49"/>
      <c r="C65" s="25"/>
    </row>
    <row r="66" spans="1:3">
      <c r="A66" s="50" t="s">
        <v>65</v>
      </c>
      <c r="B66" s="51">
        <v>1.38E-2</v>
      </c>
      <c r="C66" s="36">
        <f>(C30*B66)</f>
        <v>13.978804090909092</v>
      </c>
    </row>
    <row r="67" spans="1:3">
      <c r="A67" s="50" t="s">
        <v>66</v>
      </c>
      <c r="B67" s="51">
        <v>1.66E-2</v>
      </c>
      <c r="C67" s="36">
        <f>(C30*B67)</f>
        <v>16.815083181818181</v>
      </c>
    </row>
    <row r="68" spans="1:3">
      <c r="A68" s="50" t="s">
        <v>67</v>
      </c>
      <c r="B68" s="51">
        <v>2.0000000000000001E-4</v>
      </c>
      <c r="C68" s="36">
        <f>(C30*B68)</f>
        <v>0.20259136363636365</v>
      </c>
    </row>
    <row r="69" spans="1:3">
      <c r="A69" s="50" t="s">
        <v>68</v>
      </c>
      <c r="B69" s="51">
        <v>2.8E-3</v>
      </c>
      <c r="C69" s="36">
        <f>(C30*B69)</f>
        <v>2.8362790909090911</v>
      </c>
    </row>
    <row r="70" spans="1:3">
      <c r="A70" s="52" t="s">
        <v>69</v>
      </c>
      <c r="B70" s="53">
        <v>2.9999999999999997E-4</v>
      </c>
      <c r="C70" s="36">
        <f>(C30*B70)</f>
        <v>0.30388704545454542</v>
      </c>
    </row>
    <row r="71" spans="1:3">
      <c r="A71" s="52" t="s">
        <v>70</v>
      </c>
      <c r="B71" s="53">
        <v>6.9999999999999999E-4</v>
      </c>
      <c r="C71" s="36">
        <f>(C30*B71)</f>
        <v>0.70906977272727278</v>
      </c>
    </row>
    <row r="72" spans="1:3">
      <c r="A72" s="54" t="s">
        <v>71</v>
      </c>
      <c r="B72" s="55">
        <v>1.2699999999999999E-2</v>
      </c>
      <c r="C72" s="36">
        <f>(C30*B72)</f>
        <v>12.864551590909091</v>
      </c>
    </row>
    <row r="73" spans="1:3">
      <c r="A73" s="56" t="s">
        <v>72</v>
      </c>
      <c r="B73" s="57">
        <f>SUM(B66:B72)</f>
        <v>4.7100000000000003E-2</v>
      </c>
      <c r="C73" s="40">
        <f>(C30*B73)</f>
        <v>47.710266136363643</v>
      </c>
    </row>
    <row r="74" spans="1:3">
      <c r="A74" s="31"/>
      <c r="B74" s="32"/>
      <c r="C74" s="30"/>
    </row>
    <row r="75" spans="1:3">
      <c r="A75" s="58"/>
      <c r="B75" s="59"/>
      <c r="C75" s="36"/>
    </row>
    <row r="76" spans="1:3">
      <c r="A76" s="48" t="s">
        <v>73</v>
      </c>
      <c r="B76" s="60">
        <f>B42+B52+B62+B73</f>
        <v>0.78978520000000008</v>
      </c>
      <c r="C76" s="47">
        <f>(C42+C52+C62+C73)</f>
        <v>800.01830323909087</v>
      </c>
    </row>
    <row r="77" spans="1:3">
      <c r="A77" s="61"/>
      <c r="B77" s="62"/>
      <c r="C77" s="63"/>
    </row>
    <row r="78" spans="1:3">
      <c r="A78" s="61" t="s">
        <v>74</v>
      </c>
      <c r="B78" s="137">
        <f>B76+B42</f>
        <v>1.1877852000000002</v>
      </c>
      <c r="C78" s="138">
        <f>C30+C73+C42+C52+C62</f>
        <v>1812.9751214209091</v>
      </c>
    </row>
    <row r="79" spans="1:3">
      <c r="A79" s="340"/>
      <c r="B79" s="340"/>
      <c r="C79" s="340"/>
    </row>
    <row r="80" spans="1:3">
      <c r="A80" s="2" t="s">
        <v>75</v>
      </c>
      <c r="B80" s="21" t="str">
        <f>B20</f>
        <v>Vlr / % / Hs</v>
      </c>
      <c r="C80" s="22" t="str">
        <f>C20</f>
        <v>POR COLABORADOR</v>
      </c>
    </row>
    <row r="81" spans="1:3">
      <c r="A81" s="44" t="s">
        <v>76</v>
      </c>
      <c r="B81" s="64">
        <v>0</v>
      </c>
      <c r="C81" s="25">
        <f>(B81*30)</f>
        <v>0</v>
      </c>
    </row>
    <row r="82" spans="1:3">
      <c r="A82" s="26" t="s">
        <v>77</v>
      </c>
      <c r="B82" s="45">
        <v>0</v>
      </c>
      <c r="C82" s="25">
        <f>-(B82*C22)</f>
        <v>0</v>
      </c>
    </row>
    <row r="83" spans="1:3">
      <c r="A83" s="14" t="s">
        <v>192</v>
      </c>
      <c r="B83" s="64">
        <v>20.18</v>
      </c>
      <c r="C83" s="25">
        <f>(B83*20)</f>
        <v>403.6</v>
      </c>
    </row>
    <row r="84" spans="1:3">
      <c r="A84" s="14" t="s">
        <v>79</v>
      </c>
      <c r="B84" s="75">
        <v>0.19</v>
      </c>
      <c r="C84" s="76">
        <f>B84*C83</f>
        <v>76.684000000000012</v>
      </c>
    </row>
    <row r="85" spans="1:3">
      <c r="A85" s="34" t="s">
        <v>80</v>
      </c>
      <c r="B85" s="65" t="s">
        <v>9</v>
      </c>
      <c r="C85" s="47">
        <f>C81-C82+C83-C84</f>
        <v>326.916</v>
      </c>
    </row>
    <row r="86" spans="1:3">
      <c r="A86" s="340"/>
      <c r="B86" s="340"/>
      <c r="C86" s="340"/>
    </row>
    <row r="87" spans="1:3">
      <c r="A87" s="2" t="s">
        <v>81</v>
      </c>
      <c r="B87" s="21" t="str">
        <f>B80</f>
        <v>Vlr / % / Hs</v>
      </c>
      <c r="C87" s="22" t="str">
        <f>C20</f>
        <v>POR COLABORADOR</v>
      </c>
    </row>
    <row r="88" spans="1:3">
      <c r="A88" s="44" t="s">
        <v>257</v>
      </c>
      <c r="B88" s="81" t="s">
        <v>242</v>
      </c>
      <c r="C88" s="25">
        <f>UNIFORMES!H47</f>
        <v>14.433333333333332</v>
      </c>
    </row>
    <row r="89" spans="1:3">
      <c r="A89" s="44" t="s">
        <v>82</v>
      </c>
      <c r="B89" s="81" t="s">
        <v>9</v>
      </c>
      <c r="C89" s="25">
        <v>0</v>
      </c>
    </row>
    <row r="90" spans="1:3">
      <c r="A90" s="26" t="s">
        <v>83</v>
      </c>
      <c r="B90" s="53" t="s">
        <v>9</v>
      </c>
      <c r="C90" s="25">
        <v>0</v>
      </c>
    </row>
    <row r="91" spans="1:3">
      <c r="A91" s="14" t="s">
        <v>84</v>
      </c>
      <c r="B91" s="53" t="s">
        <v>9</v>
      </c>
      <c r="C91" s="25">
        <v>0</v>
      </c>
    </row>
    <row r="92" spans="1:3">
      <c r="A92" s="28" t="s">
        <v>85</v>
      </c>
      <c r="B92" s="55" t="s">
        <v>9</v>
      </c>
      <c r="C92" s="30">
        <v>17.32</v>
      </c>
    </row>
    <row r="93" spans="1:3">
      <c r="A93" s="34" t="s">
        <v>86</v>
      </c>
      <c r="B93" s="82"/>
      <c r="C93" s="47">
        <f>SUM(C88:C92)</f>
        <v>31.75333333333333</v>
      </c>
    </row>
    <row r="94" spans="1:3">
      <c r="A94" s="352"/>
      <c r="B94" s="352"/>
      <c r="C94" s="352"/>
    </row>
    <row r="95" spans="1:3">
      <c r="A95" s="66" t="s">
        <v>87</v>
      </c>
      <c r="B95" s="21" t="s">
        <v>88</v>
      </c>
      <c r="C95" s="22" t="str">
        <f>C87</f>
        <v>POR COLABORADOR</v>
      </c>
    </row>
    <row r="96" spans="1:3">
      <c r="A96" s="14" t="s">
        <v>89</v>
      </c>
      <c r="B96" s="83">
        <f>'RESUMO FINAL '!D24</f>
        <v>0.03</v>
      </c>
      <c r="C96" s="67">
        <f>(C78*B96)</f>
        <v>54.389253642627274</v>
      </c>
    </row>
    <row r="97" spans="1:4">
      <c r="A97" s="14" t="s">
        <v>90</v>
      </c>
      <c r="B97" s="85">
        <f>'RESUMO FINAL '!D25</f>
        <v>0</v>
      </c>
      <c r="C97" s="67">
        <f>(C78*B97)</f>
        <v>0</v>
      </c>
      <c r="D97" s="135"/>
    </row>
    <row r="98" spans="1:4">
      <c r="A98" s="34" t="s">
        <v>91</v>
      </c>
      <c r="B98" s="79">
        <f>SUM(B96:B97)</f>
        <v>0.03</v>
      </c>
      <c r="C98" s="47">
        <f>SUM(C96:C97)</f>
        <v>54.389253642627274</v>
      </c>
    </row>
    <row r="99" spans="1:4">
      <c r="A99" s="68"/>
      <c r="B99" s="344"/>
      <c r="C99" s="344"/>
    </row>
    <row r="100" spans="1:4">
      <c r="A100" s="69" t="s">
        <v>92</v>
      </c>
      <c r="B100" s="21" t="s">
        <v>88</v>
      </c>
      <c r="C100" s="22" t="str">
        <f>C95</f>
        <v>POR COLABORADOR</v>
      </c>
    </row>
    <row r="101" spans="1:4">
      <c r="A101" s="14" t="s">
        <v>93</v>
      </c>
      <c r="B101" s="51">
        <f>'RESUMO FINAL '!D28</f>
        <v>6.4999999999999997E-3</v>
      </c>
      <c r="C101" s="70">
        <f>(C78*B101)</f>
        <v>11.784338289235908</v>
      </c>
    </row>
    <row r="102" spans="1:4">
      <c r="A102" s="26" t="s">
        <v>94</v>
      </c>
      <c r="B102" s="51">
        <f>'RESUMO FINAL '!D27</f>
        <v>0.03</v>
      </c>
      <c r="C102" s="70">
        <f>(C78*B102)</f>
        <v>54.389253642627274</v>
      </c>
    </row>
    <row r="103" spans="1:4">
      <c r="A103" s="26" t="s">
        <v>95</v>
      </c>
      <c r="B103" s="78">
        <v>2.5000000000000001E-2</v>
      </c>
      <c r="C103" s="70">
        <f>(C78*B103)</f>
        <v>45.324378035522727</v>
      </c>
    </row>
    <row r="104" spans="1:4">
      <c r="A104" s="71" t="s">
        <v>96</v>
      </c>
      <c r="B104" s="60">
        <f>SUM(B101:B103)</f>
        <v>6.1499999999999999E-2</v>
      </c>
      <c r="C104" s="72">
        <f>SUM(C101:C103)</f>
        <v>111.49796996738591</v>
      </c>
    </row>
    <row r="105" spans="1:4">
      <c r="A105" s="345"/>
      <c r="B105" s="345"/>
      <c r="C105" s="345"/>
    </row>
    <row r="106" spans="1:4">
      <c r="A106" s="73" t="s">
        <v>97</v>
      </c>
      <c r="B106" s="21" t="str">
        <f>B87</f>
        <v>Vlr / % / Hs</v>
      </c>
      <c r="C106" s="22" t="str">
        <f>C100</f>
        <v>POR COLABORADOR</v>
      </c>
    </row>
    <row r="107" spans="1:4">
      <c r="A107" s="34" t="s">
        <v>98</v>
      </c>
      <c r="B107" s="105"/>
      <c r="C107" s="106">
        <f>C78</f>
        <v>1812.9751214209091</v>
      </c>
    </row>
    <row r="108" spans="1:4">
      <c r="A108" s="23" t="s">
        <v>99</v>
      </c>
      <c r="B108" s="53"/>
      <c r="C108" s="106">
        <f>C85</f>
        <v>326.916</v>
      </c>
    </row>
    <row r="109" spans="1:4">
      <c r="A109" s="23" t="s">
        <v>100</v>
      </c>
      <c r="B109" s="53"/>
      <c r="C109" s="106">
        <f>C93</f>
        <v>31.75333333333333</v>
      </c>
    </row>
    <row r="110" spans="1:4">
      <c r="A110" s="23" t="s">
        <v>101</v>
      </c>
      <c r="B110" s="53"/>
      <c r="C110" s="106">
        <f>C98</f>
        <v>54.389253642627274</v>
      </c>
    </row>
    <row r="111" spans="1:4">
      <c r="A111" s="23" t="s">
        <v>102</v>
      </c>
      <c r="B111" s="53"/>
      <c r="C111" s="106">
        <f>C104</f>
        <v>111.49796996738591</v>
      </c>
    </row>
    <row r="112" spans="1:4">
      <c r="A112" s="346"/>
      <c r="B112" s="346"/>
      <c r="C112" s="346"/>
    </row>
    <row r="113" spans="1:3">
      <c r="A113" s="347" t="s">
        <v>103</v>
      </c>
      <c r="B113" s="347"/>
      <c r="C113" s="108">
        <f>C107+C108+C109+C110+C111</f>
        <v>2337.5316783642556</v>
      </c>
    </row>
    <row r="114" spans="1:3">
      <c r="A114" s="109"/>
      <c r="B114" s="74"/>
      <c r="C114" s="74"/>
    </row>
    <row r="115" spans="1:3">
      <c r="A115" s="110" t="s">
        <v>104</v>
      </c>
      <c r="B115" s="111"/>
      <c r="C115" s="22" t="str">
        <f>C106</f>
        <v>POR COLABORADOR</v>
      </c>
    </row>
    <row r="116" spans="1:3">
      <c r="A116" s="112" t="s">
        <v>105</v>
      </c>
      <c r="B116" s="113">
        <v>12</v>
      </c>
      <c r="C116" s="114">
        <f>C113*B116</f>
        <v>28050.380140371068</v>
      </c>
    </row>
    <row r="119" spans="1:3">
      <c r="A119" t="s">
        <v>258</v>
      </c>
    </row>
    <row r="120" spans="1:3">
      <c r="A120" t="s">
        <v>259</v>
      </c>
    </row>
  </sheetData>
  <sheetProtection password="B391" sheet="1" objects="1" scenarios="1"/>
  <mergeCells count="10">
    <mergeCell ref="B99:C99"/>
    <mergeCell ref="A105:C105"/>
    <mergeCell ref="A112:C112"/>
    <mergeCell ref="A113:B113"/>
    <mergeCell ref="A1:C1"/>
    <mergeCell ref="A2:C2"/>
    <mergeCell ref="A12:C12"/>
    <mergeCell ref="A79:C79"/>
    <mergeCell ref="A86:C86"/>
    <mergeCell ref="A94:C94"/>
  </mergeCells>
  <pageMargins left="0.511811024" right="0.511811024" top="0.78740157499999996" bottom="0.78740157499999996" header="0.31496062000000002" footer="0.31496062000000002"/>
  <pageSetup paperSize="9" scale="37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>
    <pageSetUpPr fitToPage="1"/>
  </sheetPr>
  <dimension ref="A1:J45"/>
  <sheetViews>
    <sheetView topLeftCell="A16" workbookViewId="0">
      <selection activeCell="F19" sqref="F19"/>
    </sheetView>
  </sheetViews>
  <sheetFormatPr defaultRowHeight="15"/>
  <cols>
    <col min="1" max="1" width="48.140625" bestFit="1" customWidth="1"/>
    <col min="2" max="2" width="16.7109375" bestFit="1" customWidth="1"/>
    <col min="3" max="3" width="14.5703125" bestFit="1" customWidth="1"/>
    <col min="4" max="4" width="17.140625" bestFit="1" customWidth="1"/>
    <col min="5" max="5" width="19.5703125" bestFit="1" customWidth="1"/>
    <col min="6" max="6" width="28.28515625" bestFit="1" customWidth="1"/>
    <col min="7" max="7" width="25.5703125" bestFit="1" customWidth="1"/>
    <col min="8" max="8" width="39.140625" bestFit="1" customWidth="1"/>
  </cols>
  <sheetData>
    <row r="1" spans="1:10">
      <c r="A1" s="362" t="s">
        <v>162</v>
      </c>
      <c r="B1" s="362"/>
      <c r="C1" s="362"/>
      <c r="D1" s="362"/>
      <c r="E1" s="362"/>
      <c r="F1" s="139"/>
      <c r="G1" s="139"/>
      <c r="H1" s="139"/>
      <c r="I1" s="139"/>
      <c r="J1" s="139"/>
    </row>
    <row r="2" spans="1:10" ht="18">
      <c r="A2" s="140"/>
      <c r="B2" s="140"/>
      <c r="C2" s="140"/>
      <c r="D2" s="140"/>
      <c r="E2" s="140"/>
      <c r="F2" s="139"/>
      <c r="G2" s="139"/>
      <c r="H2" s="139"/>
      <c r="I2" s="139"/>
      <c r="J2" s="139"/>
    </row>
    <row r="3" spans="1:10">
      <c r="A3" s="363" t="s">
        <v>129</v>
      </c>
      <c r="B3" s="363"/>
      <c r="C3" s="363"/>
      <c r="D3" s="363"/>
      <c r="E3" s="363"/>
      <c r="F3" s="139"/>
      <c r="G3" s="139"/>
      <c r="H3" s="139"/>
      <c r="I3" s="139"/>
      <c r="J3" s="139"/>
    </row>
    <row r="4" spans="1:10">
      <c r="A4" s="364" t="s">
        <v>130</v>
      </c>
      <c r="B4" s="364"/>
      <c r="C4" s="364"/>
      <c r="D4" s="364"/>
      <c r="E4" s="365"/>
      <c r="F4" s="139"/>
      <c r="G4" s="139"/>
      <c r="H4" s="139"/>
      <c r="I4" s="139"/>
      <c r="J4" s="139"/>
    </row>
    <row r="5" spans="1:10">
      <c r="A5" s="366" t="s">
        <v>131</v>
      </c>
      <c r="B5" s="366"/>
      <c r="C5" s="141" t="s">
        <v>132</v>
      </c>
      <c r="D5" s="142" t="s">
        <v>133</v>
      </c>
      <c r="E5" s="143" t="s">
        <v>134</v>
      </c>
      <c r="F5" s="289" t="s">
        <v>187</v>
      </c>
      <c r="G5" s="289" t="s">
        <v>188</v>
      </c>
      <c r="H5" s="289" t="s">
        <v>135</v>
      </c>
      <c r="I5" s="139"/>
      <c r="J5" s="139"/>
    </row>
    <row r="6" spans="1:10" ht="15.75">
      <c r="A6" s="360" t="s">
        <v>136</v>
      </c>
      <c r="B6" s="361"/>
      <c r="C6" s="144">
        <v>1</v>
      </c>
      <c r="D6" s="291">
        <f>SUM(F6:H6)/3</f>
        <v>790</v>
      </c>
      <c r="E6" s="292">
        <v>60</v>
      </c>
      <c r="F6" s="290">
        <v>850</v>
      </c>
      <c r="G6" s="290">
        <v>700</v>
      </c>
      <c r="H6" s="290">
        <v>820</v>
      </c>
      <c r="I6" s="139"/>
      <c r="J6" s="139"/>
    </row>
    <row r="7" spans="1:10" ht="15.75">
      <c r="A7" s="360" t="s">
        <v>137</v>
      </c>
      <c r="B7" s="361"/>
      <c r="C7" s="144">
        <v>1</v>
      </c>
      <c r="D7" s="291">
        <f t="shared" ref="D7:D18" si="0">SUM(F7:H7)/3</f>
        <v>46.066666666666663</v>
      </c>
      <c r="E7" s="292">
        <v>120</v>
      </c>
      <c r="F7" s="290">
        <v>44.7</v>
      </c>
      <c r="G7" s="290">
        <v>55</v>
      </c>
      <c r="H7" s="290">
        <v>38.5</v>
      </c>
      <c r="I7" s="139"/>
      <c r="J7" s="139"/>
    </row>
    <row r="8" spans="1:10" ht="15.75">
      <c r="A8" s="360" t="s">
        <v>138</v>
      </c>
      <c r="B8" s="361"/>
      <c r="C8" s="144">
        <v>1</v>
      </c>
      <c r="D8" s="291">
        <f t="shared" si="0"/>
        <v>39.9</v>
      </c>
      <c r="E8" s="292">
        <v>60</v>
      </c>
      <c r="F8" s="290">
        <v>37.700000000000003</v>
      </c>
      <c r="G8" s="290">
        <v>45</v>
      </c>
      <c r="H8" s="290">
        <v>37</v>
      </c>
      <c r="I8" s="139"/>
      <c r="J8" s="139"/>
    </row>
    <row r="9" spans="1:10" ht="15.75">
      <c r="A9" s="360" t="s">
        <v>139</v>
      </c>
      <c r="B9" s="361"/>
      <c r="C9" s="144">
        <v>1</v>
      </c>
      <c r="D9" s="291">
        <f t="shared" si="0"/>
        <v>82</v>
      </c>
      <c r="E9" s="292">
        <v>60</v>
      </c>
      <c r="F9" s="290">
        <v>85</v>
      </c>
      <c r="G9" s="290">
        <v>78</v>
      </c>
      <c r="H9" s="290">
        <v>83</v>
      </c>
      <c r="I9" s="139"/>
      <c r="J9" s="139"/>
    </row>
    <row r="10" spans="1:10" ht="15.75">
      <c r="A10" s="360" t="s">
        <v>140</v>
      </c>
      <c r="B10" s="361"/>
      <c r="C10" s="144">
        <v>1</v>
      </c>
      <c r="D10" s="291">
        <f t="shared" si="0"/>
        <v>172</v>
      </c>
      <c r="E10" s="292">
        <v>12</v>
      </c>
      <c r="F10" s="290">
        <v>173</v>
      </c>
      <c r="G10" s="290">
        <v>175</v>
      </c>
      <c r="H10" s="290">
        <v>168</v>
      </c>
      <c r="I10" s="139"/>
      <c r="J10" s="139"/>
    </row>
    <row r="11" spans="1:10" ht="15.75">
      <c r="A11" s="360" t="s">
        <v>141</v>
      </c>
      <c r="B11" s="361"/>
      <c r="C11" s="144">
        <v>1</v>
      </c>
      <c r="D11" s="291">
        <f t="shared" si="0"/>
        <v>55</v>
      </c>
      <c r="E11" s="292">
        <v>12</v>
      </c>
      <c r="F11" s="290">
        <v>55</v>
      </c>
      <c r="G11" s="290">
        <v>53</v>
      </c>
      <c r="H11" s="290">
        <v>57</v>
      </c>
      <c r="I11" s="139"/>
      <c r="J11" s="139"/>
    </row>
    <row r="12" spans="1:10" ht="15.75">
      <c r="A12" s="360" t="s">
        <v>142</v>
      </c>
      <c r="B12" s="361"/>
      <c r="C12" s="144">
        <v>1</v>
      </c>
      <c r="D12" s="291">
        <f t="shared" si="0"/>
        <v>59.833333333333336</v>
      </c>
      <c r="E12" s="292">
        <v>12</v>
      </c>
      <c r="F12" s="290">
        <v>58</v>
      </c>
      <c r="G12" s="290">
        <v>68</v>
      </c>
      <c r="H12" s="290">
        <v>53.5</v>
      </c>
      <c r="I12" s="139"/>
      <c r="J12" s="139"/>
    </row>
    <row r="13" spans="1:10" ht="15.75">
      <c r="A13" s="360" t="s">
        <v>143</v>
      </c>
      <c r="B13" s="361"/>
      <c r="C13" s="144">
        <v>1</v>
      </c>
      <c r="D13" s="291">
        <f t="shared" si="0"/>
        <v>97.666666666666671</v>
      </c>
      <c r="E13" s="292">
        <v>12</v>
      </c>
      <c r="F13" s="290">
        <v>98</v>
      </c>
      <c r="G13" s="290">
        <v>100</v>
      </c>
      <c r="H13" s="290">
        <v>95</v>
      </c>
      <c r="I13" s="139"/>
      <c r="J13" s="139"/>
    </row>
    <row r="14" spans="1:10" ht="15.75">
      <c r="A14" s="360" t="s">
        <v>144</v>
      </c>
      <c r="B14" s="361"/>
      <c r="C14" s="144">
        <v>1</v>
      </c>
      <c r="D14" s="291">
        <f t="shared" si="0"/>
        <v>14.5</v>
      </c>
      <c r="E14" s="292">
        <v>12</v>
      </c>
      <c r="F14" s="290">
        <v>12</v>
      </c>
      <c r="G14" s="290">
        <v>16</v>
      </c>
      <c r="H14" s="290">
        <v>15.5</v>
      </c>
      <c r="I14" s="139"/>
      <c r="J14" s="139"/>
    </row>
    <row r="15" spans="1:10" ht="15.75">
      <c r="A15" s="360" t="s">
        <v>145</v>
      </c>
      <c r="B15" s="361"/>
      <c r="C15" s="144">
        <v>1</v>
      </c>
      <c r="D15" s="291">
        <f t="shared" si="0"/>
        <v>3</v>
      </c>
      <c r="E15" s="292">
        <v>12</v>
      </c>
      <c r="F15" s="290">
        <v>2.9</v>
      </c>
      <c r="G15" s="290">
        <v>3.1</v>
      </c>
      <c r="H15" s="290">
        <v>3</v>
      </c>
      <c r="I15" s="139"/>
      <c r="J15" s="139"/>
    </row>
    <row r="16" spans="1:10" ht="15.75">
      <c r="A16" s="360" t="s">
        <v>146</v>
      </c>
      <c r="B16" s="361"/>
      <c r="C16" s="144">
        <v>1</v>
      </c>
      <c r="D16" s="291">
        <f t="shared" si="0"/>
        <v>25.833333333333332</v>
      </c>
      <c r="E16" s="292">
        <v>12</v>
      </c>
      <c r="F16" s="290"/>
      <c r="G16" s="290">
        <v>43</v>
      </c>
      <c r="H16" s="290">
        <v>34.5</v>
      </c>
      <c r="I16" s="139"/>
      <c r="J16" s="139"/>
    </row>
    <row r="17" spans="1:10" ht="15.75">
      <c r="A17" s="360" t="s">
        <v>147</v>
      </c>
      <c r="B17" s="361"/>
      <c r="C17" s="144">
        <v>1</v>
      </c>
      <c r="D17" s="291">
        <f t="shared" si="0"/>
        <v>27.5</v>
      </c>
      <c r="E17" s="292">
        <v>60</v>
      </c>
      <c r="F17" s="290">
        <v>15</v>
      </c>
      <c r="G17" s="290">
        <v>28</v>
      </c>
      <c r="H17" s="290">
        <v>39.5</v>
      </c>
      <c r="I17" s="139"/>
      <c r="J17" s="139"/>
    </row>
    <row r="18" spans="1:10" ht="15.75">
      <c r="A18" s="360" t="s">
        <v>148</v>
      </c>
      <c r="B18" s="361"/>
      <c r="C18" s="144">
        <v>1</v>
      </c>
      <c r="D18" s="291">
        <f t="shared" si="0"/>
        <v>44.300000000000004</v>
      </c>
      <c r="E18" s="292">
        <v>12</v>
      </c>
      <c r="F18" s="290">
        <v>57.4</v>
      </c>
      <c r="G18" s="290">
        <v>48</v>
      </c>
      <c r="H18" s="290">
        <v>27.5</v>
      </c>
      <c r="I18" s="139"/>
      <c r="J18" s="139"/>
    </row>
    <row r="19" spans="1:10">
      <c r="A19" s="367" t="s">
        <v>149</v>
      </c>
      <c r="B19" s="367"/>
      <c r="C19" s="367"/>
      <c r="D19" s="367"/>
      <c r="E19" s="368"/>
      <c r="F19" s="139"/>
      <c r="G19" s="139"/>
      <c r="H19" s="139"/>
      <c r="I19" s="139"/>
      <c r="J19" s="139"/>
    </row>
    <row r="20" spans="1:10">
      <c r="A20" s="141" t="s">
        <v>131</v>
      </c>
      <c r="B20" s="141" t="s">
        <v>150</v>
      </c>
      <c r="C20" s="141" t="s">
        <v>133</v>
      </c>
      <c r="D20" s="141" t="s">
        <v>151</v>
      </c>
      <c r="E20" s="141" t="s">
        <v>152</v>
      </c>
      <c r="F20" s="139"/>
      <c r="G20" s="139"/>
      <c r="H20" s="139"/>
      <c r="I20" s="139"/>
      <c r="J20" s="139"/>
    </row>
    <row r="21" spans="1:10">
      <c r="A21" s="145" t="str">
        <f t="shared" ref="A21:A33" si="1">A6</f>
        <v>Parafusadeira/furadeira, 12V, 3/8'', com carregador</v>
      </c>
      <c r="B21" s="146">
        <f t="shared" ref="B21:B33" si="2">C6*12/E6</f>
        <v>0.2</v>
      </c>
      <c r="C21" s="147">
        <f t="shared" ref="C21:C33" si="3">D6</f>
        <v>790</v>
      </c>
      <c r="D21" s="148">
        <f t="shared" ref="D21:D33" si="4">B21*C21</f>
        <v>158</v>
      </c>
      <c r="E21" s="148">
        <f>D21/12</f>
        <v>13.166666666666666</v>
      </c>
      <c r="F21" s="139"/>
      <c r="G21" s="139"/>
      <c r="H21" s="139"/>
      <c r="I21" s="139"/>
      <c r="J21" s="139"/>
    </row>
    <row r="22" spans="1:10">
      <c r="A22" s="145" t="str">
        <f t="shared" si="1"/>
        <v>Martelo unha</v>
      </c>
      <c r="B22" s="146">
        <f t="shared" si="2"/>
        <v>0.1</v>
      </c>
      <c r="C22" s="147">
        <f t="shared" si="3"/>
        <v>46.066666666666663</v>
      </c>
      <c r="D22" s="148">
        <f t="shared" si="4"/>
        <v>4.6066666666666665</v>
      </c>
      <c r="E22" s="148">
        <f t="shared" ref="E22:E33" si="5">D22/12</f>
        <v>0.38388888888888889</v>
      </c>
      <c r="F22" s="139"/>
      <c r="G22" s="139"/>
      <c r="H22" s="139"/>
      <c r="I22" s="139"/>
      <c r="J22" s="139"/>
    </row>
    <row r="23" spans="1:10">
      <c r="A23" s="145" t="str">
        <f t="shared" si="1"/>
        <v>Alicate universal, isolada</v>
      </c>
      <c r="B23" s="146">
        <f t="shared" si="2"/>
        <v>0.2</v>
      </c>
      <c r="C23" s="147">
        <f t="shared" si="3"/>
        <v>39.9</v>
      </c>
      <c r="D23" s="148">
        <f t="shared" si="4"/>
        <v>7.98</v>
      </c>
      <c r="E23" s="148">
        <f t="shared" si="5"/>
        <v>0.66500000000000004</v>
      </c>
      <c r="F23" s="139"/>
      <c r="G23" s="139"/>
      <c r="H23" s="139"/>
      <c r="I23" s="139"/>
      <c r="J23" s="139"/>
    </row>
    <row r="24" spans="1:10">
      <c r="A24" s="145" t="str">
        <f t="shared" si="1"/>
        <v>Chave inglesa ajustável</v>
      </c>
      <c r="B24" s="146">
        <f t="shared" si="2"/>
        <v>0.2</v>
      </c>
      <c r="C24" s="147">
        <f t="shared" si="3"/>
        <v>82</v>
      </c>
      <c r="D24" s="148">
        <f t="shared" si="4"/>
        <v>16.400000000000002</v>
      </c>
      <c r="E24" s="148">
        <f t="shared" si="5"/>
        <v>1.3666666666666669</v>
      </c>
      <c r="F24" s="139"/>
      <c r="G24" s="139"/>
      <c r="H24" s="139"/>
      <c r="I24" s="139"/>
      <c r="J24" s="139"/>
    </row>
    <row r="25" spans="1:10">
      <c r="A25" s="145" t="str">
        <f t="shared" si="1"/>
        <v>Lanterna 19 LEDs, potente, bivolt holofote, recarregável</v>
      </c>
      <c r="B25" s="146">
        <f t="shared" si="2"/>
        <v>1</v>
      </c>
      <c r="C25" s="147">
        <f t="shared" si="3"/>
        <v>172</v>
      </c>
      <c r="D25" s="148">
        <f t="shared" si="4"/>
        <v>172</v>
      </c>
      <c r="E25" s="148">
        <f t="shared" si="5"/>
        <v>14.333333333333334</v>
      </c>
      <c r="F25" s="139"/>
      <c r="G25" s="139"/>
      <c r="H25" s="139"/>
      <c r="I25" s="139"/>
      <c r="J25" s="139"/>
    </row>
    <row r="26" spans="1:10">
      <c r="A26" s="145" t="str">
        <f t="shared" si="1"/>
        <v>Jogo de chave de fenda e philips, 6 peças, isoladas</v>
      </c>
      <c r="B26" s="146">
        <f t="shared" si="2"/>
        <v>1</v>
      </c>
      <c r="C26" s="147">
        <f t="shared" si="3"/>
        <v>55</v>
      </c>
      <c r="D26" s="148">
        <f t="shared" si="4"/>
        <v>55</v>
      </c>
      <c r="E26" s="148">
        <f t="shared" si="5"/>
        <v>4.583333333333333</v>
      </c>
      <c r="F26" s="139"/>
      <c r="G26" s="139"/>
      <c r="H26" s="139"/>
      <c r="I26" s="139"/>
      <c r="J26" s="139"/>
    </row>
    <row r="27" spans="1:10">
      <c r="A27" s="145" t="str">
        <f t="shared" si="1"/>
        <v xml:space="preserve">Trena com fita de aço, com trava, 8 metros </v>
      </c>
      <c r="B27" s="146">
        <f t="shared" si="2"/>
        <v>1</v>
      </c>
      <c r="C27" s="147">
        <f t="shared" si="3"/>
        <v>59.833333333333336</v>
      </c>
      <c r="D27" s="148">
        <f t="shared" si="4"/>
        <v>59.833333333333336</v>
      </c>
      <c r="E27" s="148">
        <f t="shared" si="5"/>
        <v>4.9861111111111116</v>
      </c>
      <c r="F27" s="139"/>
      <c r="G27" s="139"/>
      <c r="H27" s="139"/>
      <c r="I27" s="139"/>
      <c r="J27" s="139"/>
    </row>
    <row r="28" spans="1:10">
      <c r="A28" s="145" t="str">
        <f t="shared" si="1"/>
        <v xml:space="preserve">Alicate amperímetro com multímetro  </v>
      </c>
      <c r="B28" s="146">
        <f t="shared" si="2"/>
        <v>1</v>
      </c>
      <c r="C28" s="147">
        <f t="shared" si="3"/>
        <v>97.666666666666671</v>
      </c>
      <c r="D28" s="148">
        <f t="shared" si="4"/>
        <v>97.666666666666671</v>
      </c>
      <c r="E28" s="148">
        <f t="shared" si="5"/>
        <v>8.1388888888888893</v>
      </c>
      <c r="F28" s="139"/>
      <c r="G28" s="139"/>
      <c r="H28" s="139"/>
      <c r="I28" s="139"/>
      <c r="J28" s="139"/>
    </row>
    <row r="29" spans="1:10">
      <c r="A29" s="145" t="str">
        <f t="shared" si="1"/>
        <v>Estilete retratil com trava automática, 18 mm</v>
      </c>
      <c r="B29" s="146">
        <f t="shared" si="2"/>
        <v>1</v>
      </c>
      <c r="C29" s="147">
        <f t="shared" si="3"/>
        <v>14.5</v>
      </c>
      <c r="D29" s="148">
        <f t="shared" si="4"/>
        <v>14.5</v>
      </c>
      <c r="E29" s="148">
        <f t="shared" si="5"/>
        <v>1.2083333333333333</v>
      </c>
      <c r="F29" s="139"/>
      <c r="G29" s="139"/>
      <c r="H29" s="139"/>
      <c r="I29" s="139"/>
      <c r="J29" s="139"/>
    </row>
    <row r="30" spans="1:10">
      <c r="A30" s="145" t="str">
        <f t="shared" si="1"/>
        <v>Lápis carpinteiro/marceneiro/pedreiro</v>
      </c>
      <c r="B30" s="146">
        <f t="shared" si="2"/>
        <v>1</v>
      </c>
      <c r="C30" s="147">
        <f t="shared" si="3"/>
        <v>3</v>
      </c>
      <c r="D30" s="148">
        <f t="shared" si="4"/>
        <v>3</v>
      </c>
      <c r="E30" s="148">
        <f t="shared" si="5"/>
        <v>0.25</v>
      </c>
      <c r="F30" s="139"/>
      <c r="G30" s="139"/>
      <c r="H30" s="139"/>
      <c r="I30" s="139"/>
      <c r="J30" s="139"/>
    </row>
    <row r="31" spans="1:10">
      <c r="A31" s="145" t="str">
        <f t="shared" si="1"/>
        <v>Alicate de corte diagonal, 6''</v>
      </c>
      <c r="B31" s="146">
        <f t="shared" si="2"/>
        <v>1</v>
      </c>
      <c r="C31" s="147">
        <f t="shared" si="3"/>
        <v>25.833333333333332</v>
      </c>
      <c r="D31" s="148">
        <f t="shared" si="4"/>
        <v>25.833333333333332</v>
      </c>
      <c r="E31" s="148">
        <f t="shared" si="5"/>
        <v>2.1527777777777777</v>
      </c>
      <c r="F31" s="139"/>
      <c r="G31" s="139"/>
      <c r="H31" s="139"/>
      <c r="I31" s="139"/>
      <c r="J31" s="139"/>
    </row>
    <row r="32" spans="1:10">
      <c r="A32" s="145" t="str">
        <f t="shared" si="1"/>
        <v xml:space="preserve">Jogo de chave Allen, 1,5 mm a 10 mm </v>
      </c>
      <c r="B32" s="146">
        <f t="shared" si="2"/>
        <v>0.2</v>
      </c>
      <c r="C32" s="147">
        <f t="shared" si="3"/>
        <v>27.5</v>
      </c>
      <c r="D32" s="148">
        <f t="shared" si="4"/>
        <v>5.5</v>
      </c>
      <c r="E32" s="148">
        <f t="shared" si="5"/>
        <v>0.45833333333333331</v>
      </c>
      <c r="F32" s="139"/>
      <c r="G32" s="139"/>
      <c r="H32" s="139"/>
      <c r="I32" s="139"/>
      <c r="J32" s="139"/>
    </row>
    <row r="33" spans="1:10">
      <c r="A33" s="145" t="str">
        <f t="shared" si="1"/>
        <v>Nível de bolha de ar</v>
      </c>
      <c r="B33" s="146">
        <f t="shared" si="2"/>
        <v>1</v>
      </c>
      <c r="C33" s="147">
        <f t="shared" si="3"/>
        <v>44.300000000000004</v>
      </c>
      <c r="D33" s="148">
        <f t="shared" si="4"/>
        <v>44.300000000000004</v>
      </c>
      <c r="E33" s="148">
        <f t="shared" si="5"/>
        <v>3.6916666666666669</v>
      </c>
      <c r="F33" s="139"/>
      <c r="G33" s="139"/>
      <c r="H33" s="139"/>
      <c r="I33" s="139"/>
      <c r="J33" s="139"/>
    </row>
    <row r="34" spans="1:10">
      <c r="A34" s="367" t="s">
        <v>153</v>
      </c>
      <c r="B34" s="367"/>
      <c r="C34" s="367"/>
      <c r="D34" s="149">
        <f>SUM(D21:D33)</f>
        <v>664.62</v>
      </c>
      <c r="E34" s="149">
        <f>SUM(E21:E33)</f>
        <v>55.385000000000019</v>
      </c>
      <c r="F34" s="139"/>
      <c r="G34" s="139"/>
      <c r="H34" s="139"/>
      <c r="I34" s="139"/>
      <c r="J34" s="139"/>
    </row>
    <row r="35" spans="1:10">
      <c r="A35" s="150"/>
      <c r="B35" s="139"/>
      <c r="C35" s="139"/>
      <c r="D35" s="139"/>
      <c r="E35" s="139"/>
      <c r="F35" s="139"/>
      <c r="G35" s="139"/>
      <c r="H35" s="139"/>
      <c r="I35" s="139"/>
      <c r="J35" s="139"/>
    </row>
    <row r="36" spans="1:10">
      <c r="A36" s="372" t="s">
        <v>154</v>
      </c>
      <c r="B36" s="373"/>
      <c r="C36" s="373"/>
      <c r="D36" s="373"/>
      <c r="E36" s="374"/>
      <c r="F36" s="139"/>
      <c r="G36" s="139"/>
      <c r="H36" s="139"/>
      <c r="I36" s="139"/>
      <c r="J36" s="139"/>
    </row>
    <row r="37" spans="1:10">
      <c r="A37" s="375" t="s">
        <v>155</v>
      </c>
      <c r="B37" s="375"/>
      <c r="C37" s="375"/>
      <c r="D37" s="375"/>
      <c r="E37" s="375"/>
      <c r="F37" s="139"/>
      <c r="G37" s="139"/>
      <c r="H37" s="139"/>
      <c r="I37" s="139"/>
      <c r="J37" s="139"/>
    </row>
    <row r="38" spans="1:10">
      <c r="A38" s="376" t="s">
        <v>156</v>
      </c>
      <c r="B38" s="377"/>
      <c r="C38" s="378"/>
      <c r="D38" s="151" t="s">
        <v>151</v>
      </c>
      <c r="E38" s="151" t="s">
        <v>152</v>
      </c>
      <c r="F38" s="139"/>
      <c r="G38" s="139"/>
      <c r="H38" s="139"/>
      <c r="I38" s="139"/>
      <c r="J38" s="139"/>
    </row>
    <row r="39" spans="1:10">
      <c r="A39" s="379" t="s">
        <v>157</v>
      </c>
      <c r="B39" s="380"/>
      <c r="C39" s="381"/>
      <c r="D39" s="152">
        <f>D34</f>
        <v>664.62</v>
      </c>
      <c r="E39" s="153">
        <f>D39/12</f>
        <v>55.384999999999998</v>
      </c>
      <c r="F39" s="139"/>
      <c r="G39" s="139"/>
      <c r="H39" s="139"/>
      <c r="I39" s="139"/>
      <c r="J39" s="139"/>
    </row>
    <row r="40" spans="1:10">
      <c r="A40" s="376" t="s">
        <v>158</v>
      </c>
      <c r="B40" s="377"/>
      <c r="C40" s="378"/>
      <c r="D40" s="154">
        <f>SUM(D39:D39)</f>
        <v>664.62</v>
      </c>
      <c r="E40" s="154">
        <f>SUM(E39:E39)</f>
        <v>55.384999999999998</v>
      </c>
      <c r="F40" s="139"/>
      <c r="G40" s="139"/>
      <c r="H40" s="139"/>
      <c r="I40" s="139"/>
      <c r="J40" s="139"/>
    </row>
    <row r="41" spans="1:10">
      <c r="A41" s="155"/>
      <c r="B41" s="155"/>
      <c r="C41" s="155"/>
      <c r="D41" s="155"/>
      <c r="E41" s="155"/>
      <c r="F41" s="139"/>
      <c r="G41" s="139"/>
      <c r="H41" s="139"/>
      <c r="I41" s="139"/>
      <c r="J41" s="139"/>
    </row>
    <row r="42" spans="1:10">
      <c r="A42" s="369" t="s">
        <v>159</v>
      </c>
      <c r="B42" s="369"/>
      <c r="C42" s="369"/>
      <c r="D42" s="369"/>
      <c r="E42" s="369"/>
      <c r="F42" s="139"/>
      <c r="G42" s="139"/>
      <c r="H42" s="139"/>
      <c r="I42" s="139"/>
      <c r="J42" s="139"/>
    </row>
    <row r="43" spans="1:10">
      <c r="A43" s="370" t="s">
        <v>156</v>
      </c>
      <c r="B43" s="370"/>
      <c r="C43" s="370"/>
      <c r="D43" s="370"/>
      <c r="E43" s="151" t="s">
        <v>160</v>
      </c>
      <c r="F43" s="139"/>
      <c r="G43" s="139"/>
      <c r="H43" s="139"/>
      <c r="I43" s="139"/>
      <c r="J43" s="139"/>
    </row>
    <row r="44" spans="1:10">
      <c r="A44" s="371" t="str">
        <f>A39</f>
        <v>Município de Aratiba</v>
      </c>
      <c r="B44" s="371"/>
      <c r="C44" s="371"/>
      <c r="D44" s="371"/>
      <c r="E44" s="153">
        <f>E39</f>
        <v>55.384999999999998</v>
      </c>
      <c r="F44" s="139"/>
      <c r="G44" s="139"/>
      <c r="H44" s="139"/>
      <c r="I44" s="139"/>
      <c r="J44" s="139"/>
    </row>
    <row r="45" spans="1:10">
      <c r="A45" s="370" t="s">
        <v>161</v>
      </c>
      <c r="B45" s="370"/>
      <c r="C45" s="370"/>
      <c r="D45" s="370"/>
      <c r="E45" s="154">
        <f>SUM(E44:F44)</f>
        <v>55.384999999999998</v>
      </c>
      <c r="F45" s="139"/>
      <c r="G45" s="139"/>
      <c r="H45" s="139"/>
      <c r="I45" s="139"/>
      <c r="J45" s="139"/>
    </row>
  </sheetData>
  <sheetProtection password="B391" sheet="1" objects="1" scenarios="1"/>
  <mergeCells count="28">
    <mergeCell ref="A42:E42"/>
    <mergeCell ref="A43:D43"/>
    <mergeCell ref="A44:D44"/>
    <mergeCell ref="A45:D45"/>
    <mergeCell ref="A34:C34"/>
    <mergeCell ref="A36:E36"/>
    <mergeCell ref="A37:E37"/>
    <mergeCell ref="A38:C38"/>
    <mergeCell ref="A39:C39"/>
    <mergeCell ref="A40:C40"/>
    <mergeCell ref="A19:E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7:B7"/>
    <mergeCell ref="A1:E1"/>
    <mergeCell ref="A3:E3"/>
    <mergeCell ref="A4:E4"/>
    <mergeCell ref="A5:B5"/>
    <mergeCell ref="A6:B6"/>
  </mergeCells>
  <pageMargins left="0.511811024" right="0.511811024" top="0.78740157499999996" bottom="0.78740157499999996" header="0.31496062000000002" footer="0.31496062000000002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4</vt:i4>
      </vt:variant>
    </vt:vector>
  </HeadingPairs>
  <TitlesOfParts>
    <vt:vector size="16" baseType="lpstr">
      <vt:lpstr>ORIENTAÇÕES</vt:lpstr>
      <vt:lpstr>RESUMO FINAL </vt:lpstr>
      <vt:lpstr>AUX. MANUT.PREDIAL 40H</vt:lpstr>
      <vt:lpstr>MERENDEIRO 40H</vt:lpstr>
      <vt:lpstr>AUX.LIMPEZA 40H</vt:lpstr>
      <vt:lpstr>AUX.LIMPEZA 30H</vt:lpstr>
      <vt:lpstr>SERVENTE DE LIMPEZA 40H</vt:lpstr>
      <vt:lpstr>RECEPCIONISTA-TELEFONISTA 30H</vt:lpstr>
      <vt:lpstr>EQUIPAMENTO MANUTENÇÃO PREDIAL </vt:lpstr>
      <vt:lpstr>MATERIAL SERV LIMPEZA </vt:lpstr>
      <vt:lpstr>EPI´S</vt:lpstr>
      <vt:lpstr>UNIFORMES</vt:lpstr>
      <vt:lpstr>'MATERIAL SERV LIMPEZA '!Area_de_impressao</vt:lpstr>
      <vt:lpstr>ORIENTAÇÕES!Area_de_impressao</vt:lpstr>
      <vt:lpstr>'RESUMO FINAL '!Area_de_impressao</vt:lpstr>
      <vt:lpstr>EPISERVENTE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Engenharia2</cp:lastModifiedBy>
  <cp:lastPrinted>2022-06-06T17:30:34Z</cp:lastPrinted>
  <dcterms:created xsi:type="dcterms:W3CDTF">2022-04-11T11:52:38Z</dcterms:created>
  <dcterms:modified xsi:type="dcterms:W3CDTF">2022-06-06T17:32:47Z</dcterms:modified>
</cp:coreProperties>
</file>