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\Desktop\2024\Aratiba\"/>
    </mc:Choice>
  </mc:AlternateContent>
  <bookViews>
    <workbookView xWindow="0" yWindow="0" windowWidth="24000" windowHeight="9435" tabRatio="802"/>
  </bookViews>
  <sheets>
    <sheet name="Resumo" sheetId="19" r:id="rId1"/>
    <sheet name="1. Coleta Orgânica" sheetId="2" r:id="rId2"/>
    <sheet name="2. Coleta Seletiva e Interior" sheetId="39" r:id="rId3"/>
    <sheet name="3. Transbordo" sheetId="43" r:id="rId4"/>
    <sheet name="4. Transporte " sheetId="44" r:id="rId5"/>
    <sheet name="5. Destino Final" sheetId="32" r:id="rId6"/>
    <sheet name="6.Enc Sociais" sheetId="8" r:id="rId7"/>
    <sheet name="7.CAGED" sheetId="5" r:id="rId8"/>
    <sheet name="8.BDI" sheetId="4" r:id="rId9"/>
    <sheet name="9.BDI Aterro" sheetId="42" r:id="rId10"/>
    <sheet name="10. Ton" sheetId="34" r:id="rId11"/>
    <sheet name="11. Horários" sheetId="11" r:id="rId12"/>
    <sheet name="12. Roteiros" sheetId="45" r:id="rId13"/>
    <sheet name="13. Depr" sheetId="6" r:id="rId14"/>
    <sheet name="14. Rem capital" sheetId="7" r:id="rId15"/>
    <sheet name="16. Dimens" sheetId="9" r:id="rId16"/>
  </sheets>
  <definedNames>
    <definedName name="_LO25" localSheetId="12">#REF!</definedName>
    <definedName name="_LO25" localSheetId="3">#REF!</definedName>
    <definedName name="_LO25" localSheetId="4">#REF!</definedName>
    <definedName name="_LO25">#REF!</definedName>
    <definedName name="AbaDeprec">'13. Depr'!$A$1</definedName>
    <definedName name="AbaRemun" localSheetId="10">#REF!</definedName>
    <definedName name="AbaRemun" localSheetId="11">#REF!</definedName>
    <definedName name="AbaRemun" localSheetId="4">#REF!</definedName>
    <definedName name="AbaRemun" localSheetId="5">#REF!</definedName>
    <definedName name="AbaRemun" localSheetId="0">#REF!</definedName>
    <definedName name="AbaRemun">'14. Rem capital'!$A$1</definedName>
    <definedName name="_xlnm.Print_Area" localSheetId="1">'1. Coleta Orgânica'!$A$1:$F$319</definedName>
    <definedName name="_xlnm.Print_Area" localSheetId="2">'2. Coleta Seletiva e Interior'!$A$1:$F$321</definedName>
    <definedName name="_xlnm.Print_Area" localSheetId="3">'3. Transbordo'!$A$1:$F$112</definedName>
    <definedName name="_xlnm.Print_Area" localSheetId="4">'4. Transporte '!$A$1:$F$190</definedName>
    <definedName name="_xlnm.Print_Area" localSheetId="5">'5. Destino Final'!$A$1:$F$39</definedName>
    <definedName name="_xlnm.Print_Area" localSheetId="6">'6.Enc Sociais'!$A$1:$C$40</definedName>
    <definedName name="Horário" localSheetId="12">#REF!</definedName>
    <definedName name="Horário" localSheetId="2">#REF!</definedName>
    <definedName name="Horário" localSheetId="3">#REF!</definedName>
    <definedName name="Horário" localSheetId="4">#REF!</definedName>
    <definedName name="Horário" localSheetId="9">#REF!</definedName>
    <definedName name="Horário">#REF!</definedName>
    <definedName name="_xlnm.Print_Titles" localSheetId="1">'1. Coleta Orgânica'!$1:$8</definedName>
    <definedName name="_xlnm.Print_Titles" localSheetId="2">'2. Coleta Seletiva e Interior'!$1:$8</definedName>
    <definedName name="_xlnm.Print_Titles" localSheetId="3">'3. Transbordo'!$10:$13</definedName>
    <definedName name="_xlnm.Print_Titles" localSheetId="4">'4. Transporte '!#REF!</definedName>
    <definedName name="_xlnm.Print_Titles" localSheetId="5">'5. Destino Final'!#REF!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9" l="1"/>
  <c r="D7" i="19"/>
  <c r="D6" i="19"/>
  <c r="E5" i="19" l="1"/>
  <c r="D5" i="19"/>
  <c r="BS41" i="45"/>
  <c r="BP41" i="45"/>
  <c r="BP39" i="45"/>
  <c r="BP38" i="45"/>
  <c r="BP37" i="45"/>
  <c r="BP36" i="45"/>
  <c r="BP35" i="45"/>
  <c r="BP34" i="45"/>
  <c r="BP33" i="45"/>
  <c r="BP32" i="45"/>
  <c r="BP31" i="45"/>
  <c r="BP30" i="45"/>
  <c r="BP29" i="45"/>
  <c r="BP28" i="45"/>
  <c r="BP27" i="45"/>
  <c r="BP26" i="45"/>
  <c r="BP25" i="45"/>
  <c r="BP22" i="45"/>
  <c r="B125" i="44" l="1"/>
  <c r="B234" i="39"/>
  <c r="B232" i="2"/>
  <c r="BI37" i="45"/>
  <c r="BI34" i="45"/>
  <c r="BI31" i="45"/>
  <c r="BI28" i="45"/>
  <c r="BI25" i="45"/>
  <c r="F23" i="45"/>
  <c r="BK7" i="45" s="1"/>
  <c r="BI22" i="45"/>
  <c r="AH21" i="45"/>
  <c r="AH24" i="45" s="1"/>
  <c r="BK28" i="45" s="1"/>
  <c r="M21" i="45"/>
  <c r="M24" i="45" s="1"/>
  <c r="F20" i="45"/>
  <c r="AV19" i="45"/>
  <c r="AV22" i="45" s="1"/>
  <c r="BK34" i="45" s="1"/>
  <c r="BC18" i="45"/>
  <c r="BC21" i="45" s="1"/>
  <c r="BK37" i="45" s="1"/>
  <c r="AH13" i="45"/>
  <c r="M13" i="45"/>
  <c r="AO12" i="45"/>
  <c r="AO20" i="45" s="1"/>
  <c r="AO23" i="45" s="1"/>
  <c r="BK31" i="45" s="1"/>
  <c r="F12" i="45"/>
  <c r="AV11" i="45"/>
  <c r="AA11" i="45"/>
  <c r="AA19" i="45" s="1"/>
  <c r="AA22" i="45" s="1"/>
  <c r="BK25" i="45" s="1"/>
  <c r="T11" i="45"/>
  <c r="T19" i="45" s="1"/>
  <c r="T22" i="45" s="1"/>
  <c r="BK22" i="45" s="1"/>
  <c r="BC10" i="45"/>
  <c r="BS6" i="45"/>
  <c r="BS10" i="45" s="1"/>
  <c r="BK20" i="45" l="1"/>
  <c r="BK9" i="45"/>
  <c r="BK11" i="45" s="1"/>
  <c r="BK12" i="45" s="1"/>
  <c r="BK18" i="45"/>
  <c r="BK40" i="45" s="1"/>
  <c r="BK41" i="45" s="1"/>
  <c r="C24" i="34"/>
  <c r="I14" i="11" l="1"/>
  <c r="I13" i="11"/>
  <c r="D65" i="43" l="1"/>
  <c r="D134" i="39"/>
  <c r="D137" i="2"/>
  <c r="B32" i="43" l="1"/>
  <c r="C75" i="44" l="1"/>
  <c r="I12" i="11" l="1"/>
  <c r="I11" i="11"/>
  <c r="I10" i="11"/>
  <c r="I9" i="11"/>
  <c r="I8" i="11"/>
  <c r="I7" i="11"/>
  <c r="I6" i="11"/>
  <c r="I5" i="11"/>
  <c r="B18" i="34" l="1"/>
  <c r="B15" i="34"/>
  <c r="B12" i="34"/>
  <c r="B9" i="34"/>
  <c r="D10" i="19" l="1"/>
  <c r="D61" i="44" l="1"/>
  <c r="D56" i="44"/>
  <c r="D141" i="39"/>
  <c r="D135" i="39"/>
  <c r="D144" i="2"/>
  <c r="D138" i="2"/>
  <c r="E61" i="43" l="1"/>
  <c r="B19" i="34" l="1"/>
  <c r="B22" i="34" s="1"/>
  <c r="C18" i="34"/>
  <c r="C17" i="34"/>
  <c r="C16" i="34"/>
  <c r="C15" i="34"/>
  <c r="C14" i="34"/>
  <c r="C13" i="34"/>
  <c r="C12" i="34"/>
  <c r="C11" i="34"/>
  <c r="C10" i="34"/>
  <c r="C9" i="34"/>
  <c r="C8" i="34"/>
  <c r="C7" i="34"/>
  <c r="C19" i="34" l="1"/>
  <c r="C22" i="34" s="1"/>
  <c r="B39" i="44"/>
  <c r="C25" i="34" l="1"/>
  <c r="C20" i="32" s="1"/>
  <c r="C92" i="44"/>
  <c r="C87" i="44"/>
  <c r="C169" i="44"/>
  <c r="E169" i="44" s="1"/>
  <c r="D170" i="44" s="1"/>
  <c r="E170" i="44" s="1"/>
  <c r="E161" i="44"/>
  <c r="F162" i="44" s="1"/>
  <c r="F164" i="44" s="1"/>
  <c r="E24" i="44" s="1"/>
  <c r="C150" i="44"/>
  <c r="E150" i="44" s="1"/>
  <c r="E148" i="44"/>
  <c r="D137" i="44"/>
  <c r="D135" i="44"/>
  <c r="D133" i="44"/>
  <c r="D131" i="44"/>
  <c r="D129" i="44"/>
  <c r="C119" i="44"/>
  <c r="E119" i="44" s="1"/>
  <c r="C118" i="44"/>
  <c r="E118" i="44" s="1"/>
  <c r="C117" i="44"/>
  <c r="C112" i="44"/>
  <c r="C106" i="44"/>
  <c r="D105" i="44"/>
  <c r="D100" i="44"/>
  <c r="E100" i="44" s="1"/>
  <c r="C93" i="44"/>
  <c r="C89" i="44"/>
  <c r="E89" i="44" s="1"/>
  <c r="C88" i="44"/>
  <c r="E84" i="44"/>
  <c r="D87" i="44" s="1"/>
  <c r="E74" i="44"/>
  <c r="E73" i="44"/>
  <c r="E72" i="44"/>
  <c r="E71" i="44"/>
  <c r="E70" i="44"/>
  <c r="E69" i="44"/>
  <c r="E62" i="44"/>
  <c r="E56" i="44"/>
  <c r="A61" i="44"/>
  <c r="E44" i="44"/>
  <c r="E36" i="44"/>
  <c r="A36" i="44"/>
  <c r="E32" i="44"/>
  <c r="A32" i="44"/>
  <c r="A26" i="44"/>
  <c r="A25" i="44"/>
  <c r="A24" i="44"/>
  <c r="A23" i="44"/>
  <c r="A22" i="44"/>
  <c r="A21" i="44"/>
  <c r="A20" i="44"/>
  <c r="A19" i="44"/>
  <c r="A18" i="44"/>
  <c r="A17" i="44"/>
  <c r="A16" i="44"/>
  <c r="A15" i="44"/>
  <c r="A14" i="44"/>
  <c r="A13" i="44"/>
  <c r="A12" i="44"/>
  <c r="A11" i="44"/>
  <c r="E96" i="43"/>
  <c r="E95" i="43"/>
  <c r="E87" i="43"/>
  <c r="E86" i="43"/>
  <c r="E85" i="43"/>
  <c r="E84" i="43"/>
  <c r="E83" i="43"/>
  <c r="E82" i="43"/>
  <c r="E81" i="43"/>
  <c r="E80" i="43"/>
  <c r="E71" i="43"/>
  <c r="D66" i="43"/>
  <c r="E66" i="43" s="1"/>
  <c r="E65" i="43"/>
  <c r="A65" i="43"/>
  <c r="E53" i="43"/>
  <c r="E73" i="43" s="1"/>
  <c r="C47" i="43"/>
  <c r="E47" i="43" s="1"/>
  <c r="C42" i="43"/>
  <c r="E37" i="43"/>
  <c r="E43" i="43"/>
  <c r="F30" i="43"/>
  <c r="A28" i="43"/>
  <c r="A23" i="43"/>
  <c r="A22" i="43"/>
  <c r="A21" i="43"/>
  <c r="A20" i="43"/>
  <c r="A19" i="43"/>
  <c r="A18" i="43"/>
  <c r="A17" i="43"/>
  <c r="A16" i="43"/>
  <c r="A15" i="43"/>
  <c r="C61" i="44" l="1"/>
  <c r="E61" i="44" s="1"/>
  <c r="D47" i="44"/>
  <c r="E47" i="44" s="1"/>
  <c r="E48" i="44" s="1"/>
  <c r="D75" i="44"/>
  <c r="E75" i="44" s="1"/>
  <c r="C102" i="44"/>
  <c r="D117" i="44" s="1"/>
  <c r="E117" i="44" s="1"/>
  <c r="D120" i="44" s="1"/>
  <c r="E120" i="44" s="1"/>
  <c r="C107" i="44"/>
  <c r="D92" i="44"/>
  <c r="E92" i="44" s="1"/>
  <c r="D93" i="44" s="1"/>
  <c r="E93" i="44" s="1"/>
  <c r="D138" i="44"/>
  <c r="C105" i="44"/>
  <c r="E105" i="44" s="1"/>
  <c r="D151" i="44"/>
  <c r="E151" i="44" s="1"/>
  <c r="D152" i="44" s="1"/>
  <c r="F97" i="43"/>
  <c r="F99" i="43" s="1"/>
  <c r="E22" i="43" s="1"/>
  <c r="E87" i="44"/>
  <c r="D88" i="44" s="1"/>
  <c r="E88" i="44" s="1"/>
  <c r="D48" i="43"/>
  <c r="E48" i="43" s="1"/>
  <c r="E49" i="43" s="1"/>
  <c r="D60" i="43"/>
  <c r="E60" i="43" s="1"/>
  <c r="F61" i="43" s="1"/>
  <c r="E18" i="43" s="1"/>
  <c r="F73" i="43"/>
  <c r="E20" i="43" s="1"/>
  <c r="E76" i="44"/>
  <c r="E52" i="44"/>
  <c r="E33" i="44"/>
  <c r="C171" i="44"/>
  <c r="E171" i="44" s="1"/>
  <c r="D172" i="44" s="1"/>
  <c r="E172" i="44" s="1"/>
  <c r="E173" i="44"/>
  <c r="F57" i="44"/>
  <c r="E13" i="44" s="1"/>
  <c r="D88" i="43"/>
  <c r="E88" i="43" s="1"/>
  <c r="D38" i="43"/>
  <c r="E38" i="43" s="1"/>
  <c r="E39" i="43" s="1"/>
  <c r="F67" i="43"/>
  <c r="E19" i="43" s="1"/>
  <c r="E89" i="43"/>
  <c r="F76" i="44" l="1"/>
  <c r="C108" i="44"/>
  <c r="D109" i="44" s="1"/>
  <c r="E109" i="44" s="1"/>
  <c r="C103" i="44"/>
  <c r="D104" i="44" s="1"/>
  <c r="E104" i="44" s="1"/>
  <c r="F62" i="44"/>
  <c r="E94" i="44"/>
  <c r="D95" i="44" s="1"/>
  <c r="E95" i="44" s="1"/>
  <c r="F173" i="44"/>
  <c r="F175" i="44" s="1"/>
  <c r="E25" i="44" s="1"/>
  <c r="F89" i="43"/>
  <c r="E21" i="43" s="1"/>
  <c r="D49" i="44"/>
  <c r="E113" i="44"/>
  <c r="E96" i="44"/>
  <c r="E121" i="44"/>
  <c r="F121" i="44" s="1"/>
  <c r="E20" i="44" s="1"/>
  <c r="D40" i="43"/>
  <c r="E40" i="43" s="1"/>
  <c r="E41" i="43" s="1"/>
  <c r="D42" i="43" s="1"/>
  <c r="E42" i="43" s="1"/>
  <c r="F43" i="43" s="1"/>
  <c r="E16" i="43" s="1"/>
  <c r="D50" i="43"/>
  <c r="F78" i="44" l="1"/>
  <c r="E15" i="44" s="1"/>
  <c r="E110" i="44"/>
  <c r="E111" i="44" s="1"/>
  <c r="D112" i="44" s="1"/>
  <c r="E112" i="44" s="1"/>
  <c r="F113" i="44" s="1"/>
  <c r="E19" i="44" s="1"/>
  <c r="E14" i="44"/>
  <c r="F96" i="44"/>
  <c r="E18" i="44" s="1"/>
  <c r="F91" i="43"/>
  <c r="D110" i="44"/>
  <c r="E122" i="39" l="1"/>
  <c r="E125" i="2"/>
  <c r="D91" i="39"/>
  <c r="C152" i="44" l="1"/>
  <c r="E152" i="44" s="1"/>
  <c r="F153" i="44" s="1"/>
  <c r="E23" i="44" s="1"/>
  <c r="C129" i="44"/>
  <c r="C143" i="44" l="1"/>
  <c r="E143" i="44" s="1"/>
  <c r="F144" i="44" s="1"/>
  <c r="E22" i="44" s="1"/>
  <c r="C135" i="44"/>
  <c r="E135" i="44" s="1"/>
  <c r="C133" i="44"/>
  <c r="E133" i="44" s="1"/>
  <c r="C137" i="44"/>
  <c r="E137" i="44" s="1"/>
  <c r="E129" i="44"/>
  <c r="C131" i="44"/>
  <c r="E131" i="44" s="1"/>
  <c r="F139" i="44" l="1"/>
  <c r="D246" i="39"/>
  <c r="D244" i="39"/>
  <c r="D242" i="39"/>
  <c r="D240" i="39"/>
  <c r="C149" i="2"/>
  <c r="E21" i="44" l="1"/>
  <c r="F156" i="44"/>
  <c r="E16" i="44" l="1"/>
  <c r="E17" i="44"/>
  <c r="C15" i="9"/>
  <c r="C16" i="9" s="1"/>
  <c r="C179" i="39" l="1"/>
  <c r="D105" i="39"/>
  <c r="D90" i="39"/>
  <c r="C128" i="39" l="1"/>
  <c r="C16" i="42" l="1"/>
  <c r="C21" i="42" s="1"/>
  <c r="C31" i="32" s="1"/>
  <c r="F14" i="42"/>
  <c r="E14" i="42"/>
  <c r="D14" i="42"/>
  <c r="C16" i="4" l="1"/>
  <c r="G31" i="11"/>
  <c r="G34" i="11" s="1"/>
  <c r="G36" i="11" s="1"/>
  <c r="G38" i="11" s="1"/>
  <c r="G43" i="11"/>
  <c r="G46" i="11" s="1"/>
  <c r="G48" i="11" s="1"/>
  <c r="G50" i="11" s="1"/>
  <c r="G55" i="11"/>
  <c r="G58" i="11" s="1"/>
  <c r="G60" i="11" s="1"/>
  <c r="G62" i="11" s="1"/>
  <c r="C295" i="39"/>
  <c r="E295" i="39" s="1"/>
  <c r="D296" i="39" s="1"/>
  <c r="E296" i="39" s="1"/>
  <c r="E293" i="39"/>
  <c r="D294" i="39" s="1"/>
  <c r="E294" i="39" s="1"/>
  <c r="E287" i="39"/>
  <c r="E286" i="39"/>
  <c r="E285" i="39"/>
  <c r="E284" i="39"/>
  <c r="E283" i="39"/>
  <c r="E282" i="39"/>
  <c r="E274" i="39"/>
  <c r="E273" i="39"/>
  <c r="E272" i="39"/>
  <c r="C261" i="39"/>
  <c r="E261" i="39" s="1"/>
  <c r="E259" i="39"/>
  <c r="D248" i="39"/>
  <c r="D238" i="39"/>
  <c r="C228" i="39"/>
  <c r="C227" i="39"/>
  <c r="E227" i="39" s="1"/>
  <c r="C226" i="39"/>
  <c r="C221" i="39"/>
  <c r="C215" i="39"/>
  <c r="D214" i="39"/>
  <c r="D209" i="39"/>
  <c r="E209" i="39" s="1"/>
  <c r="C201" i="39"/>
  <c r="C200" i="39"/>
  <c r="D202" i="39" s="1"/>
  <c r="C197" i="39"/>
  <c r="C214" i="39" s="1"/>
  <c r="C196" i="39"/>
  <c r="C195" i="39"/>
  <c r="E192" i="39"/>
  <c r="D180" i="39"/>
  <c r="C180" i="39"/>
  <c r="D179" i="39"/>
  <c r="D178" i="39"/>
  <c r="C178" i="39"/>
  <c r="D177" i="39"/>
  <c r="C177" i="39"/>
  <c r="D176" i="39"/>
  <c r="C176" i="39"/>
  <c r="D175" i="39"/>
  <c r="C175" i="39"/>
  <c r="E168" i="39"/>
  <c r="E167" i="39"/>
  <c r="E166" i="39"/>
  <c r="E165" i="39"/>
  <c r="E164" i="39"/>
  <c r="E163" i="39"/>
  <c r="E162" i="39"/>
  <c r="E161" i="39"/>
  <c r="E160" i="39"/>
  <c r="E159" i="39"/>
  <c r="E158" i="39"/>
  <c r="E157" i="39"/>
  <c r="C146" i="39"/>
  <c r="E146" i="39" s="1"/>
  <c r="A141" i="39"/>
  <c r="A134" i="39"/>
  <c r="A140" i="39" s="1"/>
  <c r="D117" i="39"/>
  <c r="C117" i="39"/>
  <c r="D114" i="39"/>
  <c r="C114" i="39"/>
  <c r="D112" i="39"/>
  <c r="E112" i="39" s="1"/>
  <c r="D111" i="39"/>
  <c r="C111" i="39"/>
  <c r="D109" i="39"/>
  <c r="E109" i="39" s="1"/>
  <c r="D108" i="39"/>
  <c r="E108" i="39" s="1"/>
  <c r="C108" i="39"/>
  <c r="D106" i="39"/>
  <c r="E105" i="39"/>
  <c r="D93" i="39"/>
  <c r="E93" i="39" s="1"/>
  <c r="D92" i="39"/>
  <c r="E92" i="39" s="1"/>
  <c r="E90" i="39"/>
  <c r="D129" i="39" s="1"/>
  <c r="C82" i="39"/>
  <c r="C80" i="39"/>
  <c r="C77" i="39"/>
  <c r="C74" i="39"/>
  <c r="D72" i="39"/>
  <c r="D78" i="39" s="1"/>
  <c r="E78" i="39" s="1"/>
  <c r="D61" i="39"/>
  <c r="E61" i="39" s="1"/>
  <c r="D60" i="39"/>
  <c r="E60" i="39" s="1"/>
  <c r="E59" i="39"/>
  <c r="D128" i="39" s="1"/>
  <c r="E51" i="39"/>
  <c r="A51" i="39"/>
  <c r="E47" i="39"/>
  <c r="A47" i="39"/>
  <c r="E46" i="39"/>
  <c r="C181" i="39" s="1"/>
  <c r="A46" i="39"/>
  <c r="E45" i="39"/>
  <c r="A45" i="39"/>
  <c r="E44" i="39"/>
  <c r="A44" i="39"/>
  <c r="A38" i="39"/>
  <c r="A37" i="39"/>
  <c r="A36" i="39"/>
  <c r="A35" i="39"/>
  <c r="A34" i="39"/>
  <c r="A33" i="39"/>
  <c r="A32" i="39"/>
  <c r="A31" i="39"/>
  <c r="A30" i="39"/>
  <c r="A29" i="39"/>
  <c r="A28" i="39"/>
  <c r="A27" i="39"/>
  <c r="A26" i="39"/>
  <c r="A25" i="39"/>
  <c r="A24" i="39"/>
  <c r="A23" i="39"/>
  <c r="A22" i="39"/>
  <c r="A21" i="39"/>
  <c r="A20" i="39"/>
  <c r="A19" i="39"/>
  <c r="A18" i="39"/>
  <c r="A17" i="39"/>
  <c r="O7" i="11"/>
  <c r="K7" i="11"/>
  <c r="O5" i="11"/>
  <c r="K5" i="11"/>
  <c r="E101" i="39" l="1"/>
  <c r="B54" i="39"/>
  <c r="E214" i="39"/>
  <c r="D80" i="39"/>
  <c r="E80" i="39" s="1"/>
  <c r="D74" i="39"/>
  <c r="E74" i="39" s="1"/>
  <c r="E180" i="39"/>
  <c r="E111" i="39"/>
  <c r="C169" i="39"/>
  <c r="E228" i="39"/>
  <c r="D94" i="39"/>
  <c r="E94" i="39" s="1"/>
  <c r="D96" i="39" s="1"/>
  <c r="E96" i="39" s="1"/>
  <c r="E97" i="39" s="1"/>
  <c r="D169" i="39"/>
  <c r="E176" i="39"/>
  <c r="E178" i="39"/>
  <c r="E72" i="39"/>
  <c r="E114" i="39"/>
  <c r="E175" i="39"/>
  <c r="E177" i="39"/>
  <c r="E179" i="39"/>
  <c r="D249" i="39"/>
  <c r="F275" i="39"/>
  <c r="F277" i="39" s="1"/>
  <c r="E35" i="39" s="1"/>
  <c r="F288" i="39"/>
  <c r="E36" i="39" s="1"/>
  <c r="C211" i="39"/>
  <c r="D226" i="39" s="1"/>
  <c r="E226" i="39" s="1"/>
  <c r="D75" i="39"/>
  <c r="E75" i="39" s="1"/>
  <c r="E117" i="39"/>
  <c r="D62" i="39"/>
  <c r="E62" i="39" s="1"/>
  <c r="D262" i="39"/>
  <c r="E262" i="39" s="1"/>
  <c r="D263" i="39" s="1"/>
  <c r="C135" i="39"/>
  <c r="E135" i="39" s="1"/>
  <c r="C141" i="39"/>
  <c r="E141" i="39" s="1"/>
  <c r="E48" i="39"/>
  <c r="D77" i="39"/>
  <c r="E77" i="39" s="1"/>
  <c r="C134" i="39"/>
  <c r="E134" i="39" s="1"/>
  <c r="C140" i="39"/>
  <c r="E140" i="39" s="1"/>
  <c r="D195" i="39"/>
  <c r="E195" i="39" s="1"/>
  <c r="E197" i="39"/>
  <c r="E169" i="39" l="1"/>
  <c r="D115" i="39"/>
  <c r="E115" i="39" s="1"/>
  <c r="E118" i="39" s="1"/>
  <c r="D119" i="39" s="1"/>
  <c r="F136" i="39"/>
  <c r="E23" i="39" s="1"/>
  <c r="D229" i="39"/>
  <c r="E229" i="39" s="1"/>
  <c r="D63" i="39"/>
  <c r="E63" i="39" s="1"/>
  <c r="E64" i="39" s="1"/>
  <c r="D181" i="39"/>
  <c r="E181" i="39" s="1"/>
  <c r="E129" i="39"/>
  <c r="D98" i="39"/>
  <c r="D196" i="39"/>
  <c r="E196" i="39" s="1"/>
  <c r="C212" i="39"/>
  <c r="D213" i="39" s="1"/>
  <c r="E213" i="39" s="1"/>
  <c r="D81" i="39"/>
  <c r="E81" i="39" s="1"/>
  <c r="C216" i="39"/>
  <c r="D200" i="39"/>
  <c r="E200" i="39" s="1"/>
  <c r="D201" i="39" s="1"/>
  <c r="E201" i="39" s="1"/>
  <c r="D65" i="39" l="1"/>
  <c r="E128" i="39"/>
  <c r="F130" i="39" s="1"/>
  <c r="E22" i="39" s="1"/>
  <c r="C217" i="39"/>
  <c r="D218" i="39" s="1"/>
  <c r="E218" i="39" s="1"/>
  <c r="E219" i="39" s="1"/>
  <c r="E220" i="39" s="1"/>
  <c r="D221" i="39" s="1"/>
  <c r="E221" i="39" s="1"/>
  <c r="D82" i="39"/>
  <c r="E82" i="39" s="1"/>
  <c r="E83" i="39" s="1"/>
  <c r="E202" i="39"/>
  <c r="E203" i="39" l="1"/>
  <c r="D204" i="39" s="1"/>
  <c r="E204" i="39" s="1"/>
  <c r="D84" i="39"/>
  <c r="E162" i="2"/>
  <c r="E160" i="2"/>
  <c r="E20" i="32" l="1"/>
  <c r="F21" i="32" s="1"/>
  <c r="F23" i="32" s="1"/>
  <c r="E11" i="32" s="1"/>
  <c r="A12" i="32"/>
  <c r="A11" i="32"/>
  <c r="F26" i="32" l="1"/>
  <c r="D31" i="32" l="1"/>
  <c r="N11" i="11" l="1"/>
  <c r="M11" i="11" l="1"/>
  <c r="L11" i="11" l="1"/>
  <c r="C293" i="2"/>
  <c r="A36" i="2" l="1"/>
  <c r="E284" i="2"/>
  <c r="E283" i="2"/>
  <c r="E285" i="2"/>
  <c r="E282" i="2"/>
  <c r="E281" i="2"/>
  <c r="E280" i="2"/>
  <c r="F286" i="2" l="1"/>
  <c r="E36" i="2" s="1"/>
  <c r="D244" i="2" l="1"/>
  <c r="C22" i="9" l="1"/>
  <c r="A25" i="2" l="1"/>
  <c r="E149" i="2"/>
  <c r="C131" i="2" l="1"/>
  <c r="A144" i="2"/>
  <c r="C180" i="2" l="1"/>
  <c r="C179" i="2"/>
  <c r="C178" i="2"/>
  <c r="C177" i="2"/>
  <c r="C176" i="2"/>
  <c r="C175" i="2"/>
  <c r="G19" i="11" l="1"/>
  <c r="G22" i="11" s="1"/>
  <c r="G24" i="11" l="1"/>
  <c r="G26" i="11" s="1"/>
  <c r="B54" i="2" s="1"/>
  <c r="E103" i="2" l="1"/>
  <c r="E182" i="2" s="1"/>
  <c r="E171" i="2"/>
  <c r="E145" i="2" l="1"/>
  <c r="E203" i="2" s="1"/>
  <c r="E220" i="2" s="1"/>
  <c r="E228" i="2" s="1"/>
  <c r="E295" i="2" s="1"/>
  <c r="E68" i="39"/>
  <c r="E87" i="39"/>
  <c r="E170" i="39"/>
  <c r="F170" i="39" s="1"/>
  <c r="E142" i="39"/>
  <c r="E205" i="39" s="1"/>
  <c r="E182" i="39"/>
  <c r="F182" i="39" s="1"/>
  <c r="E148" i="39" l="1"/>
  <c r="F148" i="39" s="1"/>
  <c r="E25" i="39" s="1"/>
  <c r="F184" i="39"/>
  <c r="E26" i="39" s="1"/>
  <c r="F142" i="39"/>
  <c r="C27" i="5"/>
  <c r="E24" i="39" l="1"/>
  <c r="E222" i="39"/>
  <c r="F205" i="39"/>
  <c r="C225" i="2"/>
  <c r="C224" i="2"/>
  <c r="C226" i="2"/>
  <c r="E230" i="39" l="1"/>
  <c r="F222" i="39"/>
  <c r="E30" i="39" s="1"/>
  <c r="E29" i="39"/>
  <c r="A38" i="2"/>
  <c r="A37" i="2"/>
  <c r="A35" i="2"/>
  <c r="A27" i="2"/>
  <c r="A26" i="2"/>
  <c r="A17" i="2"/>
  <c r="E297" i="39" l="1"/>
  <c r="F297" i="39" s="1"/>
  <c r="F299" i="39" s="1"/>
  <c r="E37" i="39" s="1"/>
  <c r="F230" i="39"/>
  <c r="C18" i="9" l="1"/>
  <c r="C23" i="9" s="1"/>
  <c r="C25" i="9" s="1"/>
  <c r="E31" i="39"/>
  <c r="C193" i="2"/>
  <c r="C198" i="2"/>
  <c r="E47" i="2" l="1"/>
  <c r="E46" i="2"/>
  <c r="C181" i="2" s="1"/>
  <c r="E45" i="2"/>
  <c r="E51" i="2"/>
  <c r="C137" i="2" l="1"/>
  <c r="C144" i="2"/>
  <c r="C138" i="2"/>
  <c r="E138" i="2" s="1"/>
  <c r="C219" i="2"/>
  <c r="C213" i="2"/>
  <c r="D246" i="2"/>
  <c r="D242" i="2"/>
  <c r="D240" i="2"/>
  <c r="D238" i="2"/>
  <c r="D175" i="2" l="1"/>
  <c r="E175" i="2" s="1"/>
  <c r="E159" i="2"/>
  <c r="E161" i="2"/>
  <c r="E163" i="2"/>
  <c r="E164" i="2"/>
  <c r="E165" i="2"/>
  <c r="E166" i="2"/>
  <c r="E167" i="2"/>
  <c r="E168" i="2"/>
  <c r="E169" i="2"/>
  <c r="E158" i="2"/>
  <c r="D62" i="2" l="1"/>
  <c r="E62" i="2" s="1"/>
  <c r="D61" i="2"/>
  <c r="E61" i="2" s="1"/>
  <c r="D94" i="2"/>
  <c r="E94" i="2" s="1"/>
  <c r="C114" i="2"/>
  <c r="D63" i="2" l="1"/>
  <c r="E63" i="2" s="1"/>
  <c r="C117" i="2"/>
  <c r="D95" i="2"/>
  <c r="E95" i="2" s="1"/>
  <c r="D96" i="2" s="1"/>
  <c r="E96" i="2" s="1"/>
  <c r="C81" i="2"/>
  <c r="C78" i="2"/>
  <c r="D109" i="2" l="1"/>
  <c r="A34" i="2"/>
  <c r="A33" i="2"/>
  <c r="A32" i="2"/>
  <c r="A31" i="2"/>
  <c r="A30" i="2"/>
  <c r="A29" i="2"/>
  <c r="A28" i="2"/>
  <c r="A24" i="2"/>
  <c r="A23" i="2"/>
  <c r="A22" i="2"/>
  <c r="A21" i="2"/>
  <c r="A20" i="2"/>
  <c r="A19" i="2"/>
  <c r="A18" i="2"/>
  <c r="C21" i="8"/>
  <c r="E88" i="2"/>
  <c r="E69" i="2"/>
  <c r="E151" i="2" s="1"/>
  <c r="F151" i="2" s="1"/>
  <c r="E25" i="2" s="1"/>
  <c r="D207" i="2"/>
  <c r="C21" i="4"/>
  <c r="F14" i="4"/>
  <c r="E14" i="4"/>
  <c r="D14" i="4"/>
  <c r="C18" i="8"/>
  <c r="C29" i="5"/>
  <c r="C120" i="2"/>
  <c r="C111" i="2"/>
  <c r="D114" i="2"/>
  <c r="E114" i="2" s="1"/>
  <c r="E92" i="2"/>
  <c r="D132" i="2" s="1"/>
  <c r="C259" i="2"/>
  <c r="E259" i="2" s="1"/>
  <c r="D236" i="2"/>
  <c r="D247" i="2" s="1"/>
  <c r="E190" i="2"/>
  <c r="C209" i="2" s="1"/>
  <c r="D212" i="2"/>
  <c r="C199" i="2"/>
  <c r="C194" i="2"/>
  <c r="C75" i="2"/>
  <c r="D73" i="2"/>
  <c r="E293" i="2"/>
  <c r="D294" i="2" s="1"/>
  <c r="E294" i="2" s="1"/>
  <c r="C195" i="2"/>
  <c r="C212" i="2" s="1"/>
  <c r="A44" i="2"/>
  <c r="A45" i="2"/>
  <c r="A46" i="2"/>
  <c r="A47" i="2"/>
  <c r="A51" i="2"/>
  <c r="E60" i="2"/>
  <c r="D131" i="2" s="1"/>
  <c r="C83" i="2"/>
  <c r="A137" i="2"/>
  <c r="A143" i="2" s="1"/>
  <c r="D176" i="2"/>
  <c r="E176" i="2" s="1"/>
  <c r="D177" i="2"/>
  <c r="E177" i="2" s="1"/>
  <c r="D178" i="2"/>
  <c r="E178" i="2" s="1"/>
  <c r="D179" i="2"/>
  <c r="E179" i="2" s="1"/>
  <c r="D180" i="2"/>
  <c r="E180" i="2" s="1"/>
  <c r="E257" i="2"/>
  <c r="E226" i="2"/>
  <c r="E225" i="2"/>
  <c r="E270" i="2"/>
  <c r="E271" i="2"/>
  <c r="E272" i="2"/>
  <c r="C182" i="44" l="1"/>
  <c r="C106" i="43"/>
  <c r="C306" i="39"/>
  <c r="E31" i="32"/>
  <c r="F32" i="32" s="1"/>
  <c r="F34" i="32" s="1"/>
  <c r="D98" i="2"/>
  <c r="E98" i="2" s="1"/>
  <c r="E99" i="2" s="1"/>
  <c r="E132" i="2" s="1"/>
  <c r="C304" i="2"/>
  <c r="C31" i="5"/>
  <c r="C32" i="5" s="1"/>
  <c r="C30" i="5"/>
  <c r="C32" i="8" s="1"/>
  <c r="D193" i="2"/>
  <c r="E193" i="2" s="1"/>
  <c r="D81" i="2"/>
  <c r="E81" i="2" s="1"/>
  <c r="D76" i="2"/>
  <c r="E76" i="2" s="1"/>
  <c r="E108" i="2"/>
  <c r="D112" i="2"/>
  <c r="E112" i="2" s="1"/>
  <c r="D115" i="2"/>
  <c r="E115" i="2" s="1"/>
  <c r="D117" i="2"/>
  <c r="E117" i="2" s="1"/>
  <c r="D111" i="2"/>
  <c r="E111" i="2" s="1"/>
  <c r="D79" i="2"/>
  <c r="E79" i="2" s="1"/>
  <c r="D78" i="2"/>
  <c r="E78" i="2" s="1"/>
  <c r="D75" i="2"/>
  <c r="E75" i="2" s="1"/>
  <c r="F273" i="2"/>
  <c r="F275" i="2" s="1"/>
  <c r="E35" i="2" s="1"/>
  <c r="E73" i="2"/>
  <c r="E195" i="2"/>
  <c r="C214" i="2" s="1"/>
  <c r="D170" i="2"/>
  <c r="E137" i="2"/>
  <c r="F139" i="2" s="1"/>
  <c r="C170" i="2"/>
  <c r="E48" i="2"/>
  <c r="C143" i="2"/>
  <c r="E143" i="2" s="1"/>
  <c r="E212" i="2"/>
  <c r="E144" i="2"/>
  <c r="D64" i="2"/>
  <c r="E291" i="2"/>
  <c r="D292" i="2" s="1"/>
  <c r="E292" i="2" s="1"/>
  <c r="E207" i="2"/>
  <c r="D260" i="2"/>
  <c r="E260" i="2" s="1"/>
  <c r="D261" i="2" s="1"/>
  <c r="D181" i="2"/>
  <c r="F295" i="2" l="1"/>
  <c r="F297" i="2" s="1"/>
  <c r="E37" i="2" s="1"/>
  <c r="E64" i="2"/>
  <c r="E65" i="2" s="1"/>
  <c r="E12" i="32"/>
  <c r="F37" i="32"/>
  <c r="C37" i="5"/>
  <c r="C36" i="8" s="1"/>
  <c r="D194" i="2"/>
  <c r="E194" i="2" s="1"/>
  <c r="D224" i="2"/>
  <c r="C29" i="8"/>
  <c r="C20" i="8"/>
  <c r="C26" i="8" s="1"/>
  <c r="C35" i="8" s="1"/>
  <c r="D82" i="2"/>
  <c r="E82" i="2" s="1"/>
  <c r="D83" i="2" s="1"/>
  <c r="E83" i="2" s="1"/>
  <c r="D118" i="2"/>
  <c r="E118" i="2" s="1"/>
  <c r="D120" i="2" s="1"/>
  <c r="E120" i="2" s="1"/>
  <c r="E23" i="2"/>
  <c r="F145" i="2"/>
  <c r="E181" i="2"/>
  <c r="F182" i="2" s="1"/>
  <c r="E170" i="2"/>
  <c r="F171" i="2" s="1"/>
  <c r="D198" i="2"/>
  <c r="E198" i="2" s="1"/>
  <c r="D199" i="2" s="1"/>
  <c r="E199" i="2" s="1"/>
  <c r="D200" i="2" s="1"/>
  <c r="D100" i="2"/>
  <c r="D66" i="2" l="1"/>
  <c r="E131" i="2"/>
  <c r="F133" i="2" s="1"/>
  <c r="E22" i="2" s="1"/>
  <c r="E13" i="32"/>
  <c r="E38" i="32"/>
  <c r="E200" i="2"/>
  <c r="E201" i="2" s="1"/>
  <c r="D202" i="2" s="1"/>
  <c r="E202" i="2" s="1"/>
  <c r="F203" i="2" s="1"/>
  <c r="E29" i="2" s="1"/>
  <c r="C210" i="2"/>
  <c r="D211" i="2" s="1"/>
  <c r="E211" i="2" s="1"/>
  <c r="E224" i="2"/>
  <c r="D227" i="2" s="1"/>
  <c r="E227" i="2" s="1"/>
  <c r="F228" i="2" s="1"/>
  <c r="E31" i="2" s="1"/>
  <c r="E24" i="2"/>
  <c r="C30" i="8"/>
  <c r="C33" i="8" s="1"/>
  <c r="C37" i="8"/>
  <c r="C215" i="2"/>
  <c r="D216" i="2" s="1"/>
  <c r="E216" i="2" s="1"/>
  <c r="F184" i="2"/>
  <c r="E26" i="2" s="1"/>
  <c r="E121" i="2"/>
  <c r="D122" i="2" s="1"/>
  <c r="E84" i="2"/>
  <c r="F11" i="32" l="1"/>
  <c r="C8" i="19"/>
  <c r="E8" i="19" s="1"/>
  <c r="F12" i="32"/>
  <c r="E217" i="2"/>
  <c r="E218" i="2" s="1"/>
  <c r="D219" i="2" s="1"/>
  <c r="E219" i="2" s="1"/>
  <c r="F220" i="2" s="1"/>
  <c r="C38" i="8"/>
  <c r="D85" i="2"/>
  <c r="C49" i="44" l="1"/>
  <c r="E49" i="44" s="1"/>
  <c r="E50" i="44" s="1"/>
  <c r="D51" i="44" s="1"/>
  <c r="E51" i="44" s="1"/>
  <c r="F52" i="44" s="1"/>
  <c r="F64" i="44" s="1"/>
  <c r="C50" i="43"/>
  <c r="E50" i="43" s="1"/>
  <c r="E51" i="43" s="1"/>
  <c r="D52" i="43" s="1"/>
  <c r="E52" i="43" s="1"/>
  <c r="F53" i="43" s="1"/>
  <c r="F13" i="32"/>
  <c r="C98" i="39"/>
  <c r="E98" i="39" s="1"/>
  <c r="E99" i="39" s="1"/>
  <c r="D100" i="39" s="1"/>
  <c r="E100" i="39" s="1"/>
  <c r="F101" i="39" s="1"/>
  <c r="E20" i="39" s="1"/>
  <c r="C65" i="39"/>
  <c r="E65" i="39" s="1"/>
  <c r="E66" i="39" s="1"/>
  <c r="D67" i="39" s="1"/>
  <c r="E67" i="39" s="1"/>
  <c r="F68" i="39" s="1"/>
  <c r="E18" i="39" s="1"/>
  <c r="C119" i="39"/>
  <c r="E119" i="39" s="1"/>
  <c r="E120" i="39" s="1"/>
  <c r="D121" i="39" s="1"/>
  <c r="E121" i="39" s="1"/>
  <c r="F122" i="39" s="1"/>
  <c r="C84" i="39"/>
  <c r="E84" i="39" s="1"/>
  <c r="E85" i="39" s="1"/>
  <c r="D86" i="39" s="1"/>
  <c r="E86" i="39" s="1"/>
  <c r="F87" i="39" s="1"/>
  <c r="E19" i="39" s="1"/>
  <c r="E30" i="2"/>
  <c r="C100" i="2"/>
  <c r="E100" i="2" s="1"/>
  <c r="E101" i="2" s="1"/>
  <c r="D102" i="2" s="1"/>
  <c r="E102" i="2" s="1"/>
  <c r="F103" i="2" s="1"/>
  <c r="C85" i="2"/>
  <c r="E85" i="2" s="1"/>
  <c r="E86" i="2" s="1"/>
  <c r="D87" i="2" s="1"/>
  <c r="E87" i="2" s="1"/>
  <c r="F88" i="2" s="1"/>
  <c r="E19" i="2" s="1"/>
  <c r="C66" i="2"/>
  <c r="E66" i="2" s="1"/>
  <c r="E67" i="2" s="1"/>
  <c r="D68" i="2" s="1"/>
  <c r="E68" i="2" s="1"/>
  <c r="F69" i="2" s="1"/>
  <c r="C122" i="2"/>
  <c r="E122" i="2" s="1"/>
  <c r="E123" i="2" s="1"/>
  <c r="D124" i="2" s="1"/>
  <c r="E124" i="2" s="1"/>
  <c r="F125" i="2" s="1"/>
  <c r="E17" i="43" l="1"/>
  <c r="F75" i="43"/>
  <c r="F102" i="43" s="1"/>
  <c r="E12" i="44"/>
  <c r="F153" i="2"/>
  <c r="E21" i="39"/>
  <c r="F150" i="39"/>
  <c r="E18" i="2"/>
  <c r="E20" i="2"/>
  <c r="E21" i="2"/>
  <c r="E15" i="43" l="1"/>
  <c r="E11" i="44"/>
  <c r="F177" i="44"/>
  <c r="E17" i="39"/>
  <c r="E17" i="2"/>
  <c r="D182" i="44" l="1"/>
  <c r="E182" i="44" s="1"/>
  <c r="F183" i="44" s="1"/>
  <c r="F185" i="44" s="1"/>
  <c r="E26" i="44" s="1"/>
  <c r="D106" i="43"/>
  <c r="E106" i="43" s="1"/>
  <c r="F107" i="43" s="1"/>
  <c r="F109" i="43" s="1"/>
  <c r="E23" i="43" l="1"/>
  <c r="E24" i="43" s="1"/>
  <c r="F22" i="43" s="1"/>
  <c r="F111" i="43"/>
  <c r="C6" i="19" s="1"/>
  <c r="E6" i="19" s="1"/>
  <c r="F188" i="44"/>
  <c r="C7" i="19" s="1"/>
  <c r="E7" i="19" s="1"/>
  <c r="E27" i="44"/>
  <c r="F26" i="44" s="1"/>
  <c r="F23" i="43" l="1"/>
  <c r="F19" i="43"/>
  <c r="F21" i="43"/>
  <c r="F18" i="43"/>
  <c r="F16" i="43"/>
  <c r="F15" i="43"/>
  <c r="F20" i="43"/>
  <c r="F17" i="43"/>
  <c r="F20" i="44"/>
  <c r="F15" i="44"/>
  <c r="F23" i="44"/>
  <c r="F16" i="44"/>
  <c r="F22" i="44"/>
  <c r="F21" i="44"/>
  <c r="F25" i="44"/>
  <c r="F18" i="44"/>
  <c r="F14" i="44"/>
  <c r="F24" i="44"/>
  <c r="F19" i="44"/>
  <c r="F13" i="44"/>
  <c r="F17" i="44"/>
  <c r="F12" i="44"/>
  <c r="F11" i="44"/>
  <c r="F24" i="43" l="1"/>
  <c r="F27" i="44"/>
  <c r="C236" i="2"/>
  <c r="C252" i="2" l="1"/>
  <c r="E252" i="2" s="1"/>
  <c r="F253" i="2" s="1"/>
  <c r="E33" i="2" s="1"/>
  <c r="E236" i="2"/>
  <c r="C246" i="2"/>
  <c r="E246" i="2" s="1"/>
  <c r="C238" i="2"/>
  <c r="C244" i="2" s="1"/>
  <c r="E244" i="2" s="1"/>
  <c r="C242" i="2"/>
  <c r="E242" i="2" s="1"/>
  <c r="C240" i="2"/>
  <c r="E240" i="2" s="1"/>
  <c r="C261" i="2"/>
  <c r="E261" i="2" s="1"/>
  <c r="F262" i="2" s="1"/>
  <c r="E34" i="2" s="1"/>
  <c r="C263" i="39"/>
  <c r="E263" i="39" s="1"/>
  <c r="F264" i="39" s="1"/>
  <c r="E34" i="39" s="1"/>
  <c r="E238" i="2" l="1"/>
  <c r="F248" i="2" s="1"/>
  <c r="E32" i="2" s="1"/>
  <c r="C238" i="39"/>
  <c r="C242" i="39" l="1"/>
  <c r="E242" i="39" s="1"/>
  <c r="C244" i="39"/>
  <c r="E244" i="39" s="1"/>
  <c r="C240" i="39"/>
  <c r="C246" i="39" s="1"/>
  <c r="E238" i="39"/>
  <c r="C248" i="39"/>
  <c r="E248" i="39" s="1"/>
  <c r="C254" i="39"/>
  <c r="E254" i="39" s="1"/>
  <c r="F255" i="39" s="1"/>
  <c r="E33" i="39" s="1"/>
  <c r="F265" i="2"/>
  <c r="F299" i="2" s="1"/>
  <c r="E28" i="2"/>
  <c r="E240" i="39" l="1"/>
  <c r="E246" i="39"/>
  <c r="E27" i="2"/>
  <c r="D304" i="2"/>
  <c r="E304" i="2" s="1"/>
  <c r="F305" i="2" s="1"/>
  <c r="F307" i="2" s="1"/>
  <c r="E38" i="2" s="1"/>
  <c r="F250" i="39" l="1"/>
  <c r="E32" i="39" s="1"/>
  <c r="E28" i="39" s="1"/>
  <c r="E39" i="2"/>
  <c r="F310" i="2"/>
  <c r="F267" i="39" l="1"/>
  <c r="E27" i="39" s="1"/>
  <c r="F315" i="2"/>
  <c r="C4" i="19"/>
  <c r="F22" i="2"/>
  <c r="F30" i="2"/>
  <c r="F25" i="2"/>
  <c r="F29" i="2"/>
  <c r="F35" i="2"/>
  <c r="F21" i="2"/>
  <c r="F31" i="2"/>
  <c r="F26" i="2"/>
  <c r="F24" i="2"/>
  <c r="F23" i="2"/>
  <c r="F36" i="2"/>
  <c r="F20" i="2"/>
  <c r="F17" i="2"/>
  <c r="F18" i="2"/>
  <c r="F19" i="2"/>
  <c r="F37" i="2"/>
  <c r="F34" i="2"/>
  <c r="F33" i="2"/>
  <c r="F32" i="2"/>
  <c r="F27" i="2"/>
  <c r="F28" i="2"/>
  <c r="F38" i="2"/>
  <c r="F301" i="39" l="1"/>
  <c r="D306" i="39" s="1"/>
  <c r="E306" i="39" s="1"/>
  <c r="F307" i="39" s="1"/>
  <c r="F309" i="39" s="1"/>
  <c r="E38" i="39" s="1"/>
  <c r="E39" i="39" s="1"/>
  <c r="F18" i="39" s="1"/>
  <c r="F39" i="2"/>
  <c r="F23" i="39" l="1"/>
  <c r="F34" i="39"/>
  <c r="F21" i="39"/>
  <c r="F29" i="39"/>
  <c r="F30" i="39"/>
  <c r="F26" i="39"/>
  <c r="F35" i="39"/>
  <c r="F31" i="39"/>
  <c r="F28" i="39"/>
  <c r="F19" i="39"/>
  <c r="F37" i="39"/>
  <c r="F27" i="39"/>
  <c r="F20" i="39"/>
  <c r="F22" i="39"/>
  <c r="F17" i="39"/>
  <c r="F33" i="39"/>
  <c r="F32" i="39"/>
  <c r="F312" i="39"/>
  <c r="C5" i="19" s="1"/>
  <c r="F36" i="39"/>
  <c r="F25" i="39"/>
  <c r="F24" i="39"/>
  <c r="F38" i="39"/>
  <c r="F317" i="39" l="1"/>
  <c r="F39" i="39"/>
  <c r="C10" i="19"/>
  <c r="E10" i="19" l="1"/>
</calcChain>
</file>

<file path=xl/comments1.xml><?xml version="1.0" encoding="utf-8"?>
<comments xmlns="http://schemas.openxmlformats.org/spreadsheetml/2006/main">
  <authors>
    <author>Clauber Bridi</author>
  </authors>
  <commentList>
    <comment ref="D58" authorId="0" shapeId="0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59" authorId="0" shapeId="0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66" authorId="0" shapeId="0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</commentList>
</comments>
</file>

<file path=xl/sharedStrings.xml><?xml version="1.0" encoding="utf-8"?>
<sst xmlns="http://schemas.openxmlformats.org/spreadsheetml/2006/main" count="2126" uniqueCount="565">
  <si>
    <t>hora</t>
  </si>
  <si>
    <t>Adicional de Insalubridade</t>
  </si>
  <si>
    <t>%</t>
  </si>
  <si>
    <t>Soma</t>
  </si>
  <si>
    <t>Encargos Sociais</t>
  </si>
  <si>
    <t>Total do Efetivo</t>
  </si>
  <si>
    <t>homem</t>
  </si>
  <si>
    <t>Adicional Noturno</t>
  </si>
  <si>
    <t>mês</t>
  </si>
  <si>
    <t>vale</t>
  </si>
  <si>
    <t>unidade</t>
  </si>
  <si>
    <t>Colete reflexivo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</si>
  <si>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</si>
  <si>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</si>
  <si>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</si>
  <si>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</si>
  <si>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</si>
  <si>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</si>
  <si>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</si>
  <si>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</si>
  <si>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</si>
  <si>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da transmissão</t>
  </si>
  <si>
    <t>Custo mensal com óleo hidráulico</t>
  </si>
  <si>
    <t>Custo de graxa /1.000 km rodados</t>
  </si>
  <si>
    <t>kg/1.000 km</t>
  </si>
  <si>
    <t>Custo mensal com graxa</t>
  </si>
  <si>
    <t>km/jogo</t>
  </si>
  <si>
    <t>toneladas</t>
  </si>
  <si>
    <t>Pá de Concha</t>
  </si>
  <si>
    <t>Vassoura</t>
  </si>
  <si>
    <t>Calça</t>
  </si>
  <si>
    <t>Camiseta</t>
  </si>
  <si>
    <t>Boné</t>
  </si>
  <si>
    <t>Luva de proteção</t>
  </si>
  <si>
    <t>R$/tonelada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</si>
  <si>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</si>
  <si>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</si>
  <si>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</si>
  <si>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</si>
  <si>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</si>
  <si>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</si>
  <si>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</si>
  <si>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</si>
  <si>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</si>
  <si>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</si>
  <si>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</si>
  <si>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Motorista</t>
  </si>
  <si>
    <t>2. Uniformes e Equipamentos de Proteção Individual</t>
  </si>
  <si>
    <t>3.1.1. Depreciação</t>
  </si>
  <si>
    <t>1. Mão-de-obra</t>
  </si>
  <si>
    <t>par</t>
  </si>
  <si>
    <t>frasco 120g</t>
  </si>
  <si>
    <t>Depreciação mensal veículos coletores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</si>
  <si>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</si>
  <si>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</si>
  <si>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</si>
  <si>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</si>
  <si>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</si>
  <si>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</si>
  <si>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cj</t>
  </si>
  <si>
    <t>Total de mão-de-obra (postos de trabalho)</t>
  </si>
  <si>
    <t>Custo mensal com implantação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</si>
  <si>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</si>
  <si>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</si>
  <si>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</si>
  <si>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</si>
  <si>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</si>
  <si>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</si>
  <si>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</si>
  <si>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</si>
  <si>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PREÇO POR TONELADA COLETADA:  [A/B]</t>
  </si>
  <si>
    <t>Custo de recapagem</t>
  </si>
  <si>
    <t>Recipiente térmico para água (5L)</t>
  </si>
  <si>
    <t>Total por Coletor</t>
  </si>
  <si>
    <t>Coletor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</si>
  <si>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</si>
  <si>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</si>
  <si>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</si>
  <si>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</si>
  <si>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</si>
  <si>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</si>
  <si>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</si>
  <si>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</si>
  <si>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</si>
  <si>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</si>
  <si>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Fórmula para o cálculo do BDI:</t>
  </si>
  <si>
    <t>{[(1+AC+SRG) x (1+L) x (1+DF)] / (1-T)} -1</t>
  </si>
  <si>
    <t>Resultado do cálculo do BDI:</t>
  </si>
  <si>
    <t>1.2. Coletor Turno Noite</t>
  </si>
  <si>
    <t>Vale Transporte</t>
  </si>
  <si>
    <t>Dias Trabalhados por mês</t>
  </si>
  <si>
    <t>dia</t>
  </si>
  <si>
    <t>Custo Mensal com Mão-de-obra (R$/mês)</t>
  </si>
  <si>
    <t>Meia de algodão com cano alto</t>
  </si>
  <si>
    <r>
      <t xml:space="preserve">Custo jg. compl. + </t>
    </r>
    <r>
      <rPr>
        <sz val="10"/>
        <color indexed="10"/>
        <rFont val="Arial"/>
        <family val="2"/>
      </rPr>
      <t>X</t>
    </r>
    <r>
      <rPr>
        <sz val="10"/>
        <rFont val="Arial"/>
        <family val="2"/>
      </rPr>
      <t xml:space="preserve"> recap./ km rodado</t>
    </r>
  </si>
  <si>
    <t>Quantitativos</t>
  </si>
  <si>
    <t>horas trabalhadas</t>
  </si>
  <si>
    <t>Horas Extras Noturnas (100%)</t>
  </si>
  <si>
    <t>hora contabilizada</t>
  </si>
  <si>
    <t>Vida útil do chassis</t>
  </si>
  <si>
    <t>anos</t>
  </si>
  <si>
    <t>Depreciação do chassis</t>
  </si>
  <si>
    <t>Custo de aquisição do chassis</t>
  </si>
  <si>
    <t>i = taxa de juros do mercado (sugere-se adotar a taxa SELIC)</t>
  </si>
  <si>
    <t>n = vida útil do bem em anos</t>
  </si>
  <si>
    <t>Custo do chassis</t>
  </si>
  <si>
    <t>3.1.2. Remuneração do Capital</t>
  </si>
  <si>
    <t>Im = investimento médio</t>
  </si>
  <si>
    <t>Investimento médio total do chassis</t>
  </si>
  <si>
    <t>Remuneração mensal de capital do chassis</t>
  </si>
  <si>
    <t>Custo de manutenção dos caminhões</t>
  </si>
  <si>
    <t>Quilometragem mensal</t>
  </si>
  <si>
    <t>R$/km rodado</t>
  </si>
  <si>
    <t>Número de recapagens por pneu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</si>
  <si>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</si>
  <si>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</si>
  <si>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</si>
  <si>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</si>
  <si>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</si>
  <si>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</si>
  <si>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</si>
  <si>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</si>
  <si>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</si>
  <si>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</si>
  <si>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</si>
  <si>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</si>
  <si>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Dias ano</t>
  </si>
  <si>
    <t>Estoque Médio</t>
  </si>
  <si>
    <t>Multa FGTS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</si>
  <si>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</si>
  <si>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</si>
  <si>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</si>
  <si>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</si>
  <si>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</si>
  <si>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</si>
  <si>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</si>
  <si>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</si>
  <si>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</si>
  <si>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</si>
  <si>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</si>
  <si>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</si>
  <si>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</si>
  <si>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</si>
  <si>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</si>
  <si>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</si>
  <si>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</si>
  <si>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</si>
  <si>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</si>
  <si>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</si>
  <si>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</si>
  <si>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</si>
  <si>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</si>
  <si>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</si>
  <si>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</si>
  <si>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</si>
  <si>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</si>
  <si>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</si>
  <si>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</si>
  <si>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</si>
  <si>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</si>
  <si>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</si>
  <si>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</si>
  <si>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</si>
  <si>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</si>
  <si>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</si>
  <si>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</si>
  <si>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</si>
  <si>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</si>
  <si>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</si>
  <si>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</si>
  <si>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</si>
  <si>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</si>
  <si>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</si>
  <si>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</si>
  <si>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</si>
  <si>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</si>
  <si>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D</t>
  </si>
  <si>
    <t>SOMA GRUPO D</t>
  </si>
  <si>
    <t>SOMA (A+B+C+D)</t>
  </si>
  <si>
    <t>1° Quartil</t>
  </si>
  <si>
    <t>Médio</t>
  </si>
  <si>
    <t>3° Quartil</t>
  </si>
  <si>
    <t>DU</t>
  </si>
  <si>
    <t>Licenciamento e Seguro obrigatório</t>
  </si>
  <si>
    <t>Fator de utilização</t>
  </si>
  <si>
    <t>Fator de utilização (FU)</t>
  </si>
  <si>
    <t>2.1. Uniformes e EPIs para Coletor</t>
  </si>
  <si>
    <t>2.2. Uniformes e EPIs para demais categorias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</si>
  <si>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</si>
  <si>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</si>
  <si>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</si>
  <si>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</si>
  <si>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</si>
  <si>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Excluir esta linha caso a contratação seja por preço global mensal</t>
  </si>
  <si>
    <t>Rio Grande do Sul  - Coleta de Resíduos Não-Perigosos - CNAE 38114</t>
  </si>
  <si>
    <t xml:space="preserve">1. Acesse o Portal do CAGED no link http://bi.mte.gov.br/cagedestabelecimento/pages/consulta.xhtml </t>
  </si>
  <si>
    <t>3. Nível Geográfico: selecione "Unidade da Federação" e marque a opção "Rio Grande do Sul"</t>
  </si>
  <si>
    <t>4. Nível Setorial: selecione "Classe de atividade econômica segundo a classificação CNAE – versão 2.0 (669 categorias)" e marque a opção "38114 – Coleta de Resíduos Não-Perigosos"</t>
  </si>
  <si>
    <t>5. Clique em Gerar Relatório</t>
  </si>
  <si>
    <t>Para preencher esta planilha siga os passos 1 a 5:</t>
  </si>
  <si>
    <t>Idade do veículo (ano)</t>
  </si>
  <si>
    <t>Idade do veículo</t>
  </si>
  <si>
    <t>Valor do veículo proposto (V0)</t>
  </si>
  <si>
    <t>Valor do compactador proposto (V0)</t>
  </si>
  <si>
    <t>Taxa de juros anual nominal</t>
  </si>
  <si>
    <t>Piso da categoria</t>
  </si>
  <si>
    <t>Base de cálculo da Insalubridade</t>
  </si>
  <si>
    <t>Horas Extras Noturnas (50%)</t>
  </si>
  <si>
    <t>Excluir esta linha caso a contratação não tenha previsão de horas extras explícita no edital</t>
  </si>
  <si>
    <t>Descanso Semanal Remunerado (DSR) - hora extra</t>
  </si>
  <si>
    <t>C2</t>
  </si>
  <si>
    <t>B3</t>
  </si>
  <si>
    <t xml:space="preserve">Quantidade média de resíduos coletados por mês: 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</si>
  <si>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</si>
  <si>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</si>
  <si>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</si>
  <si>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</si>
  <si>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</si>
  <si>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</si>
  <si>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</si>
  <si>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</si>
  <si>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</si>
  <si>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</si>
  <si>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Custo unitário</t>
  </si>
  <si>
    <t>Custo de óleo do motor /1.000 km rodados</t>
  </si>
  <si>
    <t>Custo de óleo da transmissão /1.000 km</t>
  </si>
  <si>
    <t>Custo de óleo hidráulico / 1.000 km</t>
  </si>
  <si>
    <t>PREÇO TOTAL MENSAL COM A COLETA</t>
  </si>
  <si>
    <t>CUSTO MENSAL COM BDI (R$/mês)</t>
  </si>
  <si>
    <t>CÁLCULO DAS VERBAS INDENIZATÓRIAS DOS EMPREGADOS NO SETOR DE COLETA DE RSU</t>
  </si>
  <si>
    <t>6. Preencha as células em amarelo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</si>
  <si>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</si>
  <si>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</si>
  <si>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</si>
  <si>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</si>
  <si>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</si>
  <si>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</si>
  <si>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1. Esta planilha é somente um modelo-base e deve ser ajustada conforme cada caso concreto.</t>
  </si>
  <si>
    <t>Fórmula de cálculo da remuneração de capital:</t>
  </si>
  <si>
    <t>Excluir esta linha caso a contratação não tenha previsão de horas extras 100% explícita no edital</t>
  </si>
  <si>
    <t>Excluir esta linha caso a contratação não tenha previsão de horas extras noturnas 100% explícita no edital</t>
  </si>
  <si>
    <t>Excluir esta linha caso a contratação não tenha previsão de horas extras 50% explícita no edital</t>
  </si>
  <si>
    <t>Excluir esta linha caso a contratação não tenha previsão de horas extras noturnas 50% explícita no edital</t>
  </si>
  <si>
    <t>Total por Motorista</t>
  </si>
  <si>
    <t>2. Na Especificação da Consulta, selecione "Demonstrativo por período" e informe as competências relativas ao período Inicial e Final (últimos 12 meses)</t>
  </si>
  <si>
    <t>Durabilidade (meses)</t>
  </si>
  <si>
    <t>Custo com consumos/km rodado</t>
  </si>
  <si>
    <t>Consumo</t>
  </si>
  <si>
    <t>Total por veículo</t>
  </si>
  <si>
    <t>Total da frota</t>
  </si>
  <si>
    <t>1. Esta planilha é somente um modelo de cálculo expedito e deve ser ajustada conforme cada caso concreto.</t>
  </si>
  <si>
    <t>Unid</t>
  </si>
  <si>
    <t>hab</t>
  </si>
  <si>
    <t>ton</t>
  </si>
  <si>
    <t>Densidade RSU compactado</t>
  </si>
  <si>
    <t>Kg/m³</t>
  </si>
  <si>
    <t>m³</t>
  </si>
  <si>
    <t>Kg/hab.dia</t>
  </si>
  <si>
    <t>ton/dia</t>
  </si>
  <si>
    <t>População (H)</t>
  </si>
  <si>
    <t>Geração per capita (G)</t>
  </si>
  <si>
    <t>Geração total diária (Qd)</t>
  </si>
  <si>
    <t>Quantitativo diário de coleta (Qc)</t>
  </si>
  <si>
    <t>Número de dias de coleta por semana (Dc)</t>
  </si>
  <si>
    <t>Capacidade nominal de carga (Cc)</t>
  </si>
  <si>
    <t>Número de Cargas por dia (Nc)</t>
  </si>
  <si>
    <t>Número de veículos da Frota (F)</t>
  </si>
  <si>
    <t>Geração Mensal</t>
  </si>
  <si>
    <t>Tipo de Veículo (1 = toco, 2 = truck)</t>
  </si>
  <si>
    <t>Capacidade do Compactador</t>
  </si>
  <si>
    <t>Indicador</t>
  </si>
  <si>
    <t>Número total de percursos de coleta por veículo, por dia (Np)</t>
  </si>
  <si>
    <t>i</t>
  </si>
  <si>
    <t>3. Preencher somente células em amarelo</t>
  </si>
  <si>
    <t>Depreciação Média</t>
  </si>
  <si>
    <t>2. Dimensionar separadamente setores atendidos por veículos de capacidade de carga diferentes.</t>
  </si>
  <si>
    <t xml:space="preserve">1. Esta planilha é somente um modelo-base, devendo ser adaptada para cada caso concreto. </t>
  </si>
  <si>
    <t>Qualquer custo previsto no edital e não contemplado nesta planilha deverá ser devidamente incluído.</t>
  </si>
  <si>
    <t>4. As células azuis deverão ter seus valores preenchidos em outra planilha do arquivo.</t>
  </si>
  <si>
    <t>2. Antes de preenchê-la, leia a Orientação Técnica - Serviço de coleta de resíduos sólidos domiciliares</t>
  </si>
  <si>
    <t>Reincidência de FGTS sobre aviso prévio indenizado</t>
  </si>
  <si>
    <t>O orçamento deve ser realizado por responsável técnico habilitado e é de responsabilidade do seu autor.</t>
  </si>
  <si>
    <t>Piso da categoria (2)</t>
  </si>
  <si>
    <t>Salário mínimo nacional (1)</t>
  </si>
  <si>
    <t>O TCE/RS não se responsabiliza pelo uso incorreto desta planilha.</t>
  </si>
  <si>
    <t>% Demitidos s/ Justa Causa em relação ao Estoque Médio</t>
  </si>
  <si>
    <t>Taxa de Rotatividade</t>
  </si>
  <si>
    <t>Acordo</t>
  </si>
  <si>
    <t>Estoque recuperado início do Período 01-03-2018</t>
  </si>
  <si>
    <t>Estoque recuperado final do Período 28-02-2019</t>
  </si>
  <si>
    <t>Variação Emprego Absoluta de 01-03-2018 a 28-02-2019</t>
  </si>
  <si>
    <t xml:space="preserve">O orçamento deve ser realizado por responsável técnico habilitado e é de </t>
  </si>
  <si>
    <t>responsabilidade do seu autor.</t>
  </si>
  <si>
    <t>realizada nos últimos 12 meses</t>
  </si>
  <si>
    <t xml:space="preserve"> todos os turnos de trabalho.</t>
  </si>
  <si>
    <t>Obs:</t>
  </si>
  <si>
    <t>&gt; Informar a população do município a ser atendida</t>
  </si>
  <si>
    <t xml:space="preserve">&gt; Caso o município possua informações de pesagem, ajustar com o valor da geração média per capita </t>
  </si>
  <si>
    <t>&gt; Informe o número de dias de coleta por semana</t>
  </si>
  <si>
    <t xml:space="preserve">&gt; Informar 1 para caminhão toco; Informar 2 para caminhão truck </t>
  </si>
  <si>
    <t>&gt; Informar a capacidade do compactador em m³</t>
  </si>
  <si>
    <t>&gt; Informar o número de percursos de coleta (cargas) que cada caminhão realiza por dia, considerando</t>
  </si>
  <si>
    <t xml:space="preserve">O orçamento deve ser realizado por responsável técnico habilitado e é </t>
  </si>
  <si>
    <t>de responsabilidade do seu autor.</t>
  </si>
  <si>
    <t xml:space="preserve">O orçamento deve ser realizado por responsável técnico habilitado e </t>
  </si>
  <si>
    <t>é de responsabilidade do seu autor.</t>
  </si>
  <si>
    <t xml:space="preserve">Ordem </t>
  </si>
  <si>
    <t xml:space="preserve">Nr. Func. </t>
  </si>
  <si>
    <t xml:space="preserve">Cargo </t>
  </si>
  <si>
    <t xml:space="preserve">Dias </t>
  </si>
  <si>
    <t xml:space="preserve">Entrada </t>
  </si>
  <si>
    <t>Saída</t>
  </si>
  <si>
    <t xml:space="preserve">Total de horas por coletor </t>
  </si>
  <si>
    <t xml:space="preserve">Total de dias por semana </t>
  </si>
  <si>
    <t xml:space="preserve">Total de horas por semana </t>
  </si>
  <si>
    <t xml:space="preserve">Dias úteis semana </t>
  </si>
  <si>
    <t>Total de dias com (DSR) Descanso Semanal Remunerado</t>
  </si>
  <si>
    <t>Total de horas/dia com (DSR)</t>
  </si>
  <si>
    <t xml:space="preserve">Total de dias no mês (30 dias) </t>
  </si>
  <si>
    <t>Total geral de horas mês com (DSR)</t>
  </si>
  <si>
    <t xml:space="preserve">Total de horas por motorista </t>
  </si>
  <si>
    <t>Total geral de horas base mês com (DSR)</t>
  </si>
  <si>
    <t xml:space="preserve">Fator de utilização </t>
  </si>
  <si>
    <t>Distância</t>
  </si>
  <si>
    <t>Und.</t>
  </si>
  <si>
    <t>Ponto a Ponto</t>
  </si>
  <si>
    <t>m</t>
  </si>
  <si>
    <t>Trecho 01</t>
  </si>
  <si>
    <t>1 - 2</t>
  </si>
  <si>
    <t>Trecho 02</t>
  </si>
  <si>
    <t>2 - 3</t>
  </si>
  <si>
    <t>Trecho 03</t>
  </si>
  <si>
    <t>3 - 4</t>
  </si>
  <si>
    <t>Trecho 04</t>
  </si>
  <si>
    <t>4 - 5</t>
  </si>
  <si>
    <t>Trecho 05</t>
  </si>
  <si>
    <t>5 - 6</t>
  </si>
  <si>
    <t>Trecho 06</t>
  </si>
  <si>
    <t>6 - 7</t>
  </si>
  <si>
    <t>Dias da semana</t>
  </si>
  <si>
    <t>Nu. Coleta Semanal</t>
  </si>
  <si>
    <t>Trecho</t>
  </si>
  <si>
    <t>x</t>
  </si>
  <si>
    <t>Total Semanal</t>
  </si>
  <si>
    <t>Km</t>
  </si>
  <si>
    <t>Total Mensal</t>
  </si>
  <si>
    <t xml:space="preserve">Cargo: Motorista da coleta do lixo orgânico </t>
  </si>
  <si>
    <t>Tributos - PIS/COFINS/ e CPP se houver</t>
  </si>
  <si>
    <t>3.1. Veículo Coletor com compactador</t>
  </si>
  <si>
    <t>Custo de aquisição do compactador</t>
  </si>
  <si>
    <t>Idade do chassis</t>
  </si>
  <si>
    <t>Depreciação mensal do chassis</t>
  </si>
  <si>
    <t xml:space="preserve">Descrição </t>
  </si>
  <si>
    <t>Total Geral</t>
  </si>
  <si>
    <t>Publicidade (adesivos equipamentos e veículos)</t>
  </si>
  <si>
    <t>Fator de util.</t>
  </si>
  <si>
    <t xml:space="preserve">Plano de Benefício Social </t>
  </si>
  <si>
    <t xml:space="preserve">Total dos percursos Orgânicos </t>
  </si>
  <si>
    <t>Rota</t>
  </si>
  <si>
    <t>Rota 1</t>
  </si>
  <si>
    <t>Distância total diária:</t>
  </si>
  <si>
    <t xml:space="preserve">Composição dos Encargos Sociais </t>
  </si>
  <si>
    <t>6. CAGED</t>
  </si>
  <si>
    <t>Composição do BDI - Benefícios e Despesas Indiretas</t>
  </si>
  <si>
    <t>Depreciação Referencial TCE/RS (%)</t>
  </si>
  <si>
    <t>Remuneração de Capital</t>
  </si>
  <si>
    <t>Dimensionamento da frota</t>
  </si>
  <si>
    <t xml:space="preserve">Custo do jogo de pneus </t>
  </si>
  <si>
    <t xml:space="preserve">Custo mensal com Arla </t>
  </si>
  <si>
    <t>Custo de arla (5% do consumo de Óleo Diesel)</t>
  </si>
  <si>
    <t xml:space="preserve">Investimento médio total </t>
  </si>
  <si>
    <t xml:space="preserve">Remuneração mensal de capital </t>
  </si>
  <si>
    <t xml:space="preserve">TOTAL MENSAL = ROTAS DE COLETA + TRANSPORTE </t>
  </si>
  <si>
    <t>Frota Reserva 10%</t>
  </si>
  <si>
    <t>Horas/dia</t>
  </si>
  <si>
    <t>Total por Encarregado</t>
  </si>
  <si>
    <t>Orgânica</t>
  </si>
  <si>
    <t xml:space="preserve">Coleta </t>
  </si>
  <si>
    <t>Seletiva</t>
  </si>
  <si>
    <t>Custo com despesas de água/luz/fone/internet</t>
  </si>
  <si>
    <t>Aluguel de um galpão mensal</t>
  </si>
  <si>
    <t xml:space="preserve">Serviços de limpeza do galpão mensal </t>
  </si>
  <si>
    <t xml:space="preserve">5. Administração Local </t>
  </si>
  <si>
    <t>6. Monitoramento da Frota</t>
  </si>
  <si>
    <t>7. Benefícios e Despesas Indiretas - BDI</t>
  </si>
  <si>
    <t xml:space="preserve">4. Ferramentas, Materiais de Consumo </t>
  </si>
  <si>
    <t>1.2. Motorista Turno do Dia</t>
  </si>
  <si>
    <t>1.3. Encarregado/Supervisor</t>
  </si>
  <si>
    <t>1.4. Vale Transporte</t>
  </si>
  <si>
    <t>1.5. Vale-refeição (diário)</t>
  </si>
  <si>
    <t>1.6. Auxílio Alimentação (mensal)</t>
  </si>
  <si>
    <t xml:space="preserve">1.7. Plano de Benefício Social  </t>
  </si>
  <si>
    <t xml:space="preserve">Coletor </t>
  </si>
  <si>
    <t>Planilha com os horários dos funcionários coleta de resíduos orgânicos e seletivos</t>
  </si>
  <si>
    <t>1. Esta planilha é somente um modelo-base. Qualquer custo previsto no edital e não contemplado nesta planilha deverá ser devidamente incluído</t>
  </si>
  <si>
    <t>3. As células azuis deverão ter seus valores preenchidos em outra planilha do arquivo.</t>
  </si>
  <si>
    <t xml:space="preserve">Destinação Final </t>
  </si>
  <si>
    <t xml:space="preserve">Ton. </t>
  </si>
  <si>
    <t>Custo Mensal com Destinação Final (R$/mês)</t>
  </si>
  <si>
    <t xml:space="preserve">Preço total por Ton em reais </t>
  </si>
  <si>
    <t xml:space="preserve">1. Destinação final </t>
  </si>
  <si>
    <t xml:space="preserve">Destino Final </t>
  </si>
  <si>
    <t>PREÇO TOTAL MENSAL COM O DESTINO FINAL</t>
  </si>
  <si>
    <t>Previsão Toneladas coletadas e enviadas ao aterro sanitário</t>
  </si>
  <si>
    <t>Valores R$</t>
  </si>
  <si>
    <t xml:space="preserve">Bermuda com reflexivo </t>
  </si>
  <si>
    <t xml:space="preserve">Camiseta manga curta com reflexivo </t>
  </si>
  <si>
    <t>Hrs/se-mana</t>
  </si>
  <si>
    <t xml:space="preserve">Cargo: Coletor de resíduos orgânicos </t>
  </si>
  <si>
    <t xml:space="preserve">Total de horas </t>
  </si>
  <si>
    <t xml:space="preserve">Piso da categoria </t>
  </si>
  <si>
    <t xml:space="preserve">Lavagem dos caminhões compactadores </t>
  </si>
  <si>
    <t>2. Benefícios e Despesas Indiretas - BDI</t>
  </si>
  <si>
    <t xml:space="preserve">Resumo Custo Edital Coleta de Resíduos Sólidos </t>
  </si>
  <si>
    <t>Rota 2</t>
  </si>
  <si>
    <t>Coleta</t>
  </si>
  <si>
    <t>Interior</t>
  </si>
  <si>
    <t>Seletiva Interior</t>
  </si>
  <si>
    <t xml:space="preserve">1. Coleta e Transportes de Resíduos Orgânicos </t>
  </si>
  <si>
    <t xml:space="preserve">Total dos percursos Seletivos </t>
  </si>
  <si>
    <t>Cargo: Coletor de resíduos seletivos e interior</t>
  </si>
  <si>
    <t xml:space="preserve">Cargo: motorista de resíduos seletivos e interior </t>
  </si>
  <si>
    <t xml:space="preserve">Previsão de Toneladas de lixo coletados </t>
  </si>
  <si>
    <t xml:space="preserve">2. Coleta e Transportes de Resíduos Seletivos e Interior </t>
  </si>
  <si>
    <t>1.5. Vale Lanche (diário)</t>
  </si>
  <si>
    <t>Composição do BDI - Benefícios e Despesas Indiretas do Aterro Sanitário</t>
  </si>
  <si>
    <t>Trecho 07</t>
  </si>
  <si>
    <t>Trecho 08</t>
  </si>
  <si>
    <t>7 - 8</t>
  </si>
  <si>
    <t>8 - 9</t>
  </si>
  <si>
    <t xml:space="preserve">Botina de segurança c/ palmilha aço, ou tênis </t>
  </si>
  <si>
    <t xml:space="preserve">Botina de segurança, ou tênis compatível </t>
  </si>
  <si>
    <t>Botina de segurança c/ palmilha aço, ou tênis</t>
  </si>
  <si>
    <t xml:space="preserve">Camiseta manga longa com reflexivo </t>
  </si>
  <si>
    <t>Camiseta manga longa com reflexivo</t>
  </si>
  <si>
    <t xml:space="preserve">Meses </t>
  </si>
  <si>
    <t>Custo mensal com veículo de apoio 25km semana</t>
  </si>
  <si>
    <t>Custo mensal com veículo de apoio 10km semana</t>
  </si>
  <si>
    <t>Cor da Linha</t>
  </si>
  <si>
    <t>Distância total da Itinerário:</t>
  </si>
  <si>
    <t>Total dos percursos da coleta de lixo + Deslocamento</t>
  </si>
  <si>
    <t>Resumo do Percurso - Coleta de lixo</t>
  </si>
  <si>
    <t>Rota 4</t>
  </si>
  <si>
    <t>Início do Itinerário - Final do Itinerário</t>
  </si>
  <si>
    <t>Final do Itinerário - Centro de Triagem</t>
  </si>
  <si>
    <t>Rota 5</t>
  </si>
  <si>
    <t>Percurso</t>
  </si>
  <si>
    <t>Sentido</t>
  </si>
  <si>
    <t>Centro de Triagem - Aterro Sanitário</t>
  </si>
  <si>
    <t>Ida</t>
  </si>
  <si>
    <t>Volta</t>
  </si>
  <si>
    <t>Total</t>
  </si>
  <si>
    <t xml:space="preserve">Quantidade de viagens mensais: </t>
  </si>
  <si>
    <t xml:space="preserve">Quilometragem total mensal : </t>
  </si>
  <si>
    <t>ROTA 1 - Urbana</t>
  </si>
  <si>
    <t>ROTA 3 - Interior</t>
  </si>
  <si>
    <t>ROTA 4 - Interior</t>
  </si>
  <si>
    <t>ROTA 5 - Interior</t>
  </si>
  <si>
    <t>ROTA 6 - Interior</t>
  </si>
  <si>
    <t>ROTA 2 - Urbana</t>
  </si>
  <si>
    <t>Rota 3</t>
  </si>
  <si>
    <t>Rota 6</t>
  </si>
  <si>
    <t>Terça</t>
  </si>
  <si>
    <t>Quinta</t>
  </si>
  <si>
    <t>Quarta e Sexta</t>
  </si>
  <si>
    <t xml:space="preserve">Segunda </t>
  </si>
  <si>
    <t>Prefeitura - Início do Itinerário</t>
  </si>
  <si>
    <t xml:space="preserve"> Centro de Triagem - Prefeitura</t>
  </si>
  <si>
    <t>Distância: Coleta + Transporte</t>
  </si>
  <si>
    <t>DISTÂNCIA ATÉ O ATERRO SANITÁRIO - IPUMIRIM</t>
  </si>
  <si>
    <t>Quarta e sexta</t>
  </si>
  <si>
    <t xml:space="preserve"> Quinta  </t>
  </si>
  <si>
    <t>Prefeitura Municipal de Aratiba</t>
  </si>
  <si>
    <t>Periodicidade: Segunda, terça, quarta, quinta e sexta</t>
  </si>
  <si>
    <t>Locais de coleta:  Área Urbana</t>
  </si>
  <si>
    <t>Locais de coleta:  Área Urbana + Dourado</t>
  </si>
  <si>
    <t>Locais de coleta:  Interior - Lado Sudoeste</t>
  </si>
  <si>
    <t>Locais de coleta:  Interior - Lado Sudeste</t>
  </si>
  <si>
    <t>Locais de coleta:  Interior - Lado Nordeste</t>
  </si>
  <si>
    <t>Locais de coleta:  Interior - Lado Noroeste</t>
  </si>
  <si>
    <t>MÊS</t>
  </si>
  <si>
    <t xml:space="preserve">Considerado 05 horas semanais.  </t>
  </si>
  <si>
    <t xml:space="preserve">Coleta orgânica </t>
  </si>
  <si>
    <t xml:space="preserve">Coleta seletiva </t>
  </si>
  <si>
    <t xml:space="preserve">3. Transbordo dos resíduos </t>
  </si>
  <si>
    <t>PREÇO TOTAL MENSAL COM O TANSBORDO</t>
  </si>
  <si>
    <t>1.2 Assistente Administrativo/ Encarregado</t>
  </si>
  <si>
    <t>1.1. Triador</t>
  </si>
  <si>
    <t>Total por Triador</t>
  </si>
  <si>
    <t>1.1. Assistente Administrativo/ Encarregado - CBO 4110</t>
  </si>
  <si>
    <t>Total por Assistente Administrativo</t>
  </si>
  <si>
    <t>1.2. Vale Transporte</t>
  </si>
  <si>
    <t xml:space="preserve">Assistente </t>
  </si>
  <si>
    <t>1.2. Vale-refeição (diário)</t>
  </si>
  <si>
    <t>Encarregado</t>
  </si>
  <si>
    <t xml:space="preserve">1.4. Plano de Benefício Social  </t>
  </si>
  <si>
    <t>1. Custo Mensal com Mão-de-obra</t>
  </si>
  <si>
    <t xml:space="preserve">2.1. Uniformes e EPIs para Assistente </t>
  </si>
  <si>
    <t>Botina de segurança c/ palmilha aço</t>
  </si>
  <si>
    <t>Máscara de proteção</t>
  </si>
  <si>
    <t>Óculos de proteção</t>
  </si>
  <si>
    <t>2. Custo Mensal com Uniformes e EPIs</t>
  </si>
  <si>
    <t xml:space="preserve">3. Máquinas, equipamentos e instalações e Administração Local </t>
  </si>
  <si>
    <t>H/Mês</t>
  </si>
  <si>
    <t>Locação e manutenção do Prédio</t>
  </si>
  <si>
    <t>Mês</t>
  </si>
  <si>
    <t>3. Custo Mensal com máquinas e equipamentos e instalações</t>
  </si>
  <si>
    <t>CUSTO TOTAL MENSAL COM DESPESAS OPERACIONAIS</t>
  </si>
  <si>
    <t>4. Benefícios e Despesas Indiretas</t>
  </si>
  <si>
    <t xml:space="preserve">CUSTO MENSAL </t>
  </si>
  <si>
    <t>PREÇO MENSAL TOTAL</t>
  </si>
  <si>
    <t xml:space="preserve">Transbordo </t>
  </si>
  <si>
    <t xml:space="preserve">Transporte ao Destino Final </t>
  </si>
  <si>
    <t>1.1. Motorista Turno do Dia</t>
  </si>
  <si>
    <t>Piso da categoria (1)</t>
  </si>
  <si>
    <t>Salário mínimo nacional (2)</t>
  </si>
  <si>
    <t>1.3. Auxílio Alimentação (mensal)</t>
  </si>
  <si>
    <t xml:space="preserve">Botina de segurança </t>
  </si>
  <si>
    <r>
      <t>3.1. Veículo Carreta Basculante</t>
    </r>
    <r>
      <rPr>
        <sz val="10"/>
        <color indexed="10"/>
        <rFont val="Arial"/>
        <family val="2"/>
      </rPr>
      <t xml:space="preserve"> xx</t>
    </r>
    <r>
      <rPr>
        <sz val="10"/>
        <rFont val="Arial"/>
        <family val="2"/>
      </rPr>
      <t xml:space="preserve"> m³</t>
    </r>
  </si>
  <si>
    <t xml:space="preserve">Depreciação mensal veículos </t>
  </si>
  <si>
    <t>Custo de aquisição da caçamba</t>
  </si>
  <si>
    <t xml:space="preserve">Vida útil </t>
  </si>
  <si>
    <t>Idade da caçamba</t>
  </si>
  <si>
    <t>Depreciação da caçamba</t>
  </si>
  <si>
    <t>Depreciação mensal da caçamba</t>
  </si>
  <si>
    <t>Custo da caçamba</t>
  </si>
  <si>
    <t>Valor da caçamba proposto (V0)</t>
  </si>
  <si>
    <t>Investimento médio total da caçamba</t>
  </si>
  <si>
    <t>Remuneração mensal de capital da caçamba</t>
  </si>
  <si>
    <t>Custo do jogo de pneus xxx/xx Rxx</t>
  </si>
  <si>
    <t xml:space="preserve">4. Destinação final </t>
  </si>
  <si>
    <t>4. Monitoramento da Frota</t>
  </si>
  <si>
    <t>5. Benefícios e Despesas Indiretas - BDI</t>
  </si>
  <si>
    <t>PREFEITURA MUNICIPAL DE ARATIBA</t>
  </si>
  <si>
    <t>PESO ton</t>
  </si>
  <si>
    <t xml:space="preserve">Total Geral </t>
  </si>
  <si>
    <t xml:space="preserve">Média/meses </t>
  </si>
  <si>
    <t>Total Geral rejeitos (toneladas/mês)</t>
  </si>
  <si>
    <t xml:space="preserve">Período: Realizado nos últimos 12 meses </t>
  </si>
  <si>
    <t xml:space="preserve">5. Destino Final </t>
  </si>
  <si>
    <t xml:space="preserve">4. Transporte de Rejeitos ao Destino Final </t>
  </si>
  <si>
    <t>1.1. Coletor Turno Dia CBO 5142</t>
  </si>
  <si>
    <t>1.1. Coletor Turno Dia - CBO 5142</t>
  </si>
  <si>
    <t>1.3. Vale-refeição (diário)</t>
  </si>
  <si>
    <t>Retroescavadeira (2 hrs/dia), c/operador e óleo diesel</t>
  </si>
  <si>
    <t>PO R$</t>
  </si>
  <si>
    <t>Obs: Salário do motorista conforme Convenção Coletiva (Setcergs 2023)</t>
  </si>
  <si>
    <t xml:space="preserve">Interior </t>
  </si>
  <si>
    <t xml:space="preserve">Percentual </t>
  </si>
  <si>
    <t xml:space="preserve">PESO KG CIDADE E INTERIOR </t>
  </si>
  <si>
    <t xml:space="preserve">Vale Refeição </t>
  </si>
  <si>
    <t xml:space="preserve">Máscara de proteção respiratória </t>
  </si>
  <si>
    <t xml:space="preserve">2.1. Uniformes e EPIs </t>
  </si>
  <si>
    <t>ROTA 7 - Interior</t>
  </si>
  <si>
    <t>Rota 7</t>
  </si>
  <si>
    <t>ROTA 8 - Interior</t>
  </si>
  <si>
    <t>Rota 8</t>
  </si>
  <si>
    <t>Locais de coleta:  Interior - Lado Leste</t>
  </si>
  <si>
    <t>Locais de coleta:  Interior - Lado Oeste</t>
  </si>
  <si>
    <t>1 coleta por mês (mês 1 seletiva e mês 2 orgânica)</t>
  </si>
  <si>
    <t>Média Semanal</t>
  </si>
  <si>
    <t>Rota 3, 4, 5, 6, 7 e 8</t>
  </si>
  <si>
    <t xml:space="preserve">(previsão de 16 horas/semana) (Convenção Coletiva Asseio 2024) </t>
  </si>
  <si>
    <t>Total Geral Reciclado por mês 13% (Ton)</t>
  </si>
  <si>
    <t>Aratiba, 11 de março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</si>
</sst>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  <numFmt numFmtId="170" formatCode="_-* #,##0.00_-;\-* #,##0.00_-;_-* &quot;-&quot;?_-;_-@_-"/>
    <numFmt numFmtId="171" formatCode="_-* #,##0.0_-;\-* #,##0.0_-;_-* &quot;-&quot;??_-;_-@_-"/>
    <numFmt numFmtId="172" formatCode="_ * #,##0.00_ ;_ * \-#,##0.00_ ;_ * &quot;-&quot;??_ ;_ @_ "/>
    <numFmt numFmtId="173" formatCode="_(* #,##0.0000_);_(* \(#,##0.0000\);_(* &quot;-&quot;??_);_(@_)"/>
    <numFmt numFmtId="174" formatCode="0.000"/>
    <numFmt numFmtId="175" formatCode="_(* #,##0.0000000_);_(* \(#,##0.0000000\);_(* &quot;-&quot;??_);_(@_)"/>
    <numFmt numFmtId="176" formatCode="_-* #,##0.0000_-;\-* #,##0.0000_-;_-* &quot;-&quot;??_-;_-@_-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Times New Roman"/>
      <family val="1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</font>
    <font>
      <b/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0.49998474074526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70">
    <xf numFmtId="0" fontId="0" fillId="0" borderId="0"/>
    <xf numFmtId="0" fontId="32" fillId="0" borderId="0" applyNumberFormat="0" applyFill="0" applyBorder="0" applyAlignment="0" applyProtection="0">
      <alignment vertical="top"/>
      <protection locked="0"/>
    </xf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44" fontId="25" fillId="0" borderId="0" applyFont="0" applyFill="0" applyBorder="0" applyAlignment="0" applyProtection="0"/>
    <xf numFmtId="171" fontId="53" fillId="0" borderId="0" applyFont="0" applyFill="0" applyBorder="0" applyAlignment="0" applyProtection="0"/>
    <xf numFmtId="0" fontId="24" fillId="0" borderId="0"/>
    <xf numFmtId="0" fontId="25" fillId="0" borderId="0"/>
    <xf numFmtId="0" fontId="53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9" fontId="53" fillId="0" borderId="0" applyFont="0" applyFill="0" applyBorder="0" applyAlignment="0" applyProtection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72" fontId="25" fillId="0" borderId="0" applyFont="0" applyFill="0" applyBorder="0" applyAlignment="0" applyProtection="0"/>
    <xf numFmtId="0" fontId="23" fillId="0" borderId="0"/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0" fontId="16" fillId="0" borderId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6" fillId="0" borderId="0"/>
    <xf numFmtId="0" fontId="5" fillId="0" borderId="0"/>
    <xf numFmtId="0" fontId="3" fillId="0" borderId="0"/>
    <xf numFmtId="4" fontId="25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769">
    <xf numFmtId="0" fontId="0" fillId="0" borderId="0" xfId="0"/>
    <xf numFmtId="0" fontId="30" fillId="0" borderId="0" xfId="0" applyFont="1"/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25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165" fontId="30" fillId="0" borderId="0" xfId="3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0" fillId="0" borderId="2" xfId="0" applyFont="1" applyBorder="1" applyAlignment="1">
      <alignment vertical="center"/>
    </xf>
    <xf numFmtId="0" fontId="30" fillId="0" borderId="2" xfId="0" applyFont="1" applyBorder="1" applyAlignment="1">
      <alignment horizontal="center" vertical="center"/>
    </xf>
    <xf numFmtId="165" fontId="30" fillId="0" borderId="2" xfId="3" applyFont="1" applyBorder="1" applyAlignment="1">
      <alignment horizontal="center" vertical="center"/>
    </xf>
    <xf numFmtId="0" fontId="30" fillId="0" borderId="1" xfId="0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165" fontId="30" fillId="0" borderId="1" xfId="3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165" fontId="30" fillId="0" borderId="0" xfId="3" applyFont="1" applyAlignment="1">
      <alignment horizontal="center" vertical="center"/>
    </xf>
    <xf numFmtId="165" fontId="27" fillId="2" borderId="4" xfId="3" applyFont="1" applyFill="1" applyBorder="1" applyAlignment="1">
      <alignment horizontal="center" vertical="center"/>
    </xf>
    <xf numFmtId="165" fontId="27" fillId="2" borderId="4" xfId="3" applyFont="1" applyFill="1" applyBorder="1" applyAlignment="1">
      <alignment vertical="center"/>
    </xf>
    <xf numFmtId="165" fontId="27" fillId="0" borderId="0" xfId="3" applyFont="1" applyFill="1" applyBorder="1" applyAlignment="1">
      <alignment vertical="center"/>
    </xf>
    <xf numFmtId="0" fontId="27" fillId="0" borderId="5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165" fontId="27" fillId="0" borderId="6" xfId="3" applyFont="1" applyBorder="1" applyAlignment="1">
      <alignment vertical="center"/>
    </xf>
    <xf numFmtId="165" fontId="27" fillId="0" borderId="7" xfId="3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165" fontId="30" fillId="0" borderId="6" xfId="3" applyFont="1" applyBorder="1" applyAlignment="1">
      <alignment vertical="center"/>
    </xf>
    <xf numFmtId="165" fontId="30" fillId="0" borderId="7" xfId="3" applyFont="1" applyBorder="1" applyAlignment="1">
      <alignment vertical="center"/>
    </xf>
    <xf numFmtId="165" fontId="27" fillId="0" borderId="0" xfId="3" applyFont="1" applyBorder="1" applyAlignment="1">
      <alignment horizontal="center" vertical="center"/>
    </xf>
    <xf numFmtId="3" fontId="30" fillId="0" borderId="0" xfId="0" applyNumberFormat="1" applyFont="1" applyAlignment="1">
      <alignment vertical="center"/>
    </xf>
    <xf numFmtId="165" fontId="27" fillId="0" borderId="0" xfId="3" applyFont="1" applyFill="1" applyBorder="1" applyAlignment="1">
      <alignment horizontal="center" vertical="center"/>
    </xf>
    <xf numFmtId="165" fontId="27" fillId="0" borderId="0" xfId="3" applyFont="1" applyBorder="1" applyAlignment="1">
      <alignment vertical="center"/>
    </xf>
    <xf numFmtId="165" fontId="29" fillId="0" borderId="0" xfId="3" applyFont="1" applyAlignment="1">
      <alignment vertical="center"/>
    </xf>
    <xf numFmtId="166" fontId="30" fillId="0" borderId="1" xfId="3" applyNumberFormat="1" applyFont="1" applyBorder="1" applyAlignment="1">
      <alignment vertical="center"/>
    </xf>
    <xf numFmtId="165" fontId="30" fillId="0" borderId="0" xfId="3" applyFont="1"/>
    <xf numFmtId="165" fontId="28" fillId="0" borderId="0" xfId="3" applyFont="1" applyAlignment="1">
      <alignment vertical="center"/>
    </xf>
    <xf numFmtId="165" fontId="0" fillId="0" borderId="11" xfId="3" applyFont="1" applyBorder="1" applyAlignment="1">
      <alignment vertical="center"/>
    </xf>
    <xf numFmtId="165" fontId="27" fillId="0" borderId="12" xfId="3" applyFont="1" applyBorder="1" applyAlignment="1">
      <alignment horizontal="center" vertical="center"/>
    </xf>
    <xf numFmtId="165" fontId="27" fillId="0" borderId="5" xfId="3" applyFont="1" applyBorder="1" applyAlignment="1">
      <alignment horizontal="left" vertical="center"/>
    </xf>
    <xf numFmtId="4" fontId="27" fillId="0" borderId="6" xfId="0" applyNumberFormat="1" applyFont="1" applyBorder="1" applyAlignment="1">
      <alignment horizontal="centerContinuous" vertical="center"/>
    </xf>
    <xf numFmtId="165" fontId="27" fillId="0" borderId="0" xfId="3" applyFont="1" applyAlignment="1">
      <alignment vertical="center"/>
    </xf>
    <xf numFmtId="165" fontId="0" fillId="0" borderId="9" xfId="0" applyNumberFormat="1" applyBorder="1" applyAlignment="1">
      <alignment vertical="center"/>
    </xf>
    <xf numFmtId="4" fontId="0" fillId="0" borderId="9" xfId="0" applyNumberFormat="1" applyBorder="1" applyAlignment="1">
      <alignment horizontal="centerContinuous" vertical="center"/>
    </xf>
    <xf numFmtId="165" fontId="0" fillId="0" borderId="9" xfId="3" applyFont="1" applyBorder="1" applyAlignment="1">
      <alignment vertical="center"/>
    </xf>
    <xf numFmtId="165" fontId="27" fillId="0" borderId="13" xfId="3" applyFont="1" applyBorder="1" applyAlignment="1">
      <alignment horizontal="right" vertical="center"/>
    </xf>
    <xf numFmtId="165" fontId="0" fillId="0" borderId="14" xfId="3" applyFont="1" applyBorder="1" applyAlignment="1">
      <alignment vertical="center"/>
    </xf>
    <xf numFmtId="165" fontId="30" fillId="0" borderId="1" xfId="3" applyFont="1" applyBorder="1" applyAlignment="1">
      <alignment vertical="center"/>
    </xf>
    <xf numFmtId="0" fontId="35" fillId="0" borderId="0" xfId="0" applyFont="1" applyAlignment="1">
      <alignment vertical="center"/>
    </xf>
    <xf numFmtId="0" fontId="34" fillId="0" borderId="1" xfId="0" applyFont="1" applyBorder="1" applyAlignment="1">
      <alignment horizontal="center" vertical="center"/>
    </xf>
    <xf numFmtId="165" fontId="30" fillId="0" borderId="0" xfId="3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165" fontId="28" fillId="0" borderId="0" xfId="3" applyFont="1" applyBorder="1" applyAlignment="1">
      <alignment vertical="center"/>
    </xf>
    <xf numFmtId="10" fontId="0" fillId="0" borderId="15" xfId="2" applyNumberFormat="1" applyFont="1" applyBorder="1" applyAlignment="1">
      <alignment vertical="center"/>
    </xf>
    <xf numFmtId="165" fontId="30" fillId="0" borderId="0" xfId="3" applyFont="1" applyBorder="1" applyAlignment="1">
      <alignment vertical="center"/>
    </xf>
    <xf numFmtId="0" fontId="37" fillId="2" borderId="16" xfId="0" applyFont="1" applyFill="1" applyBorder="1" applyAlignment="1">
      <alignment horizontal="center" vertical="center"/>
    </xf>
    <xf numFmtId="0" fontId="37" fillId="2" borderId="17" xfId="0" applyFont="1" applyFill="1" applyBorder="1" applyAlignment="1">
      <alignment horizontal="center" vertical="center"/>
    </xf>
    <xf numFmtId="165" fontId="37" fillId="2" borderId="17" xfId="3" applyFont="1" applyFill="1" applyBorder="1" applyAlignment="1">
      <alignment horizontal="center" vertical="center"/>
    </xf>
    <xf numFmtId="165" fontId="37" fillId="2" borderId="18" xfId="3" applyFont="1" applyFill="1" applyBorder="1" applyAlignment="1">
      <alignment horizontal="center" vertical="center"/>
    </xf>
    <xf numFmtId="165" fontId="27" fillId="0" borderId="19" xfId="3" applyFont="1" applyBorder="1" applyAlignment="1">
      <alignment horizontal="center" vertical="center"/>
    </xf>
    <xf numFmtId="165" fontId="25" fillId="0" borderId="14" xfId="3" applyFont="1" applyBorder="1" applyAlignment="1">
      <alignment horizontal="left" vertical="center"/>
    </xf>
    <xf numFmtId="165" fontId="30" fillId="0" borderId="9" xfId="3" applyFont="1" applyBorder="1" applyAlignment="1">
      <alignment vertical="center"/>
    </xf>
    <xf numFmtId="165" fontId="30" fillId="0" borderId="14" xfId="3" applyFont="1" applyBorder="1" applyAlignment="1">
      <alignment vertical="center"/>
    </xf>
    <xf numFmtId="166" fontId="30" fillId="0" borderId="0" xfId="3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center" vertical="center"/>
    </xf>
    <xf numFmtId="1" fontId="30" fillId="0" borderId="20" xfId="3" applyNumberFormat="1" applyFont="1" applyBorder="1" applyAlignment="1">
      <alignment horizontal="center" vertical="center"/>
    </xf>
    <xf numFmtId="165" fontId="27" fillId="0" borderId="28" xfId="3" applyFont="1" applyBorder="1" applyAlignment="1">
      <alignment vertical="center"/>
    </xf>
    <xf numFmtId="4" fontId="27" fillId="0" borderId="29" xfId="0" applyNumberFormat="1" applyFont="1" applyBorder="1" applyAlignment="1">
      <alignment vertical="center"/>
    </xf>
    <xf numFmtId="165" fontId="30" fillId="0" borderId="19" xfId="3" applyFont="1" applyBorder="1" applyAlignment="1">
      <alignment vertical="center"/>
    </xf>
    <xf numFmtId="165" fontId="30" fillId="0" borderId="11" xfId="3" applyFont="1" applyBorder="1" applyAlignment="1">
      <alignment vertical="center"/>
    </xf>
    <xf numFmtId="0" fontId="0" fillId="0" borderId="11" xfId="0" applyBorder="1" applyAlignment="1">
      <alignment vertical="center"/>
    </xf>
    <xf numFmtId="1" fontId="30" fillId="0" borderId="12" xfId="3" applyNumberFormat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29" xfId="0" applyBorder="1" applyAlignment="1">
      <alignment vertical="center"/>
    </xf>
    <xf numFmtId="1" fontId="27" fillId="0" borderId="31" xfId="3" applyNumberFormat="1" applyFont="1" applyBorder="1" applyAlignment="1">
      <alignment horizontal="center" vertical="center"/>
    </xf>
    <xf numFmtId="165" fontId="36" fillId="0" borderId="1" xfId="3" applyFont="1" applyBorder="1" applyAlignment="1">
      <alignment horizontal="center" vertical="center"/>
    </xf>
    <xf numFmtId="165" fontId="30" fillId="0" borderId="1" xfId="3" applyFont="1" applyFill="1" applyBorder="1" applyAlignment="1">
      <alignment horizontal="center" vertical="center"/>
    </xf>
    <xf numFmtId="165" fontId="35" fillId="0" borderId="0" xfId="3" applyFont="1" applyAlignment="1">
      <alignment vertical="center"/>
    </xf>
    <xf numFmtId="43" fontId="30" fillId="0" borderId="0" xfId="0" applyNumberFormat="1" applyFont="1" applyAlignment="1">
      <alignment vertical="center"/>
    </xf>
    <xf numFmtId="0" fontId="30" fillId="3" borderId="1" xfId="0" applyFont="1" applyFill="1" applyBorder="1" applyAlignment="1">
      <alignment horizontal="center" vertical="center"/>
    </xf>
    <xf numFmtId="165" fontId="30" fillId="3" borderId="2" xfId="3" applyFont="1" applyFill="1" applyBorder="1" applyAlignment="1">
      <alignment horizontal="center" vertical="center"/>
    </xf>
    <xf numFmtId="2" fontId="30" fillId="3" borderId="1" xfId="0" applyNumberFormat="1" applyFont="1" applyFill="1" applyBorder="1" applyAlignment="1">
      <alignment horizontal="center" vertical="center"/>
    </xf>
    <xf numFmtId="165" fontId="30" fillId="3" borderId="1" xfId="3" applyFont="1" applyFill="1" applyBorder="1" applyAlignment="1">
      <alignment horizontal="center" vertical="center"/>
    </xf>
    <xf numFmtId="1" fontId="30" fillId="3" borderId="1" xfId="0" applyNumberFormat="1" applyFont="1" applyFill="1" applyBorder="1" applyAlignment="1">
      <alignment horizontal="center" vertical="center"/>
    </xf>
    <xf numFmtId="0" fontId="30" fillId="3" borderId="0" xfId="0" applyFont="1" applyFill="1" applyAlignment="1">
      <alignment vertical="center"/>
    </xf>
    <xf numFmtId="165" fontId="30" fillId="3" borderId="0" xfId="3" applyFont="1" applyFill="1" applyAlignment="1">
      <alignment vertical="center"/>
    </xf>
    <xf numFmtId="0" fontId="30" fillId="0" borderId="0" xfId="0" applyFont="1" applyAlignment="1">
      <alignment horizontal="right" vertical="center"/>
    </xf>
    <xf numFmtId="166" fontId="30" fillId="0" borderId="1" xfId="3" applyNumberFormat="1" applyFont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/>
    </xf>
    <xf numFmtId="4" fontId="30" fillId="3" borderId="2" xfId="0" applyNumberFormat="1" applyFont="1" applyFill="1" applyBorder="1" applyAlignment="1">
      <alignment horizontal="center" vertical="center"/>
    </xf>
    <xf numFmtId="3" fontId="30" fillId="3" borderId="1" xfId="0" applyNumberFormat="1" applyFont="1" applyFill="1" applyBorder="1" applyAlignment="1">
      <alignment horizontal="center" vertical="center"/>
    </xf>
    <xf numFmtId="4" fontId="30" fillId="3" borderId="1" xfId="0" applyNumberFormat="1" applyFont="1" applyFill="1" applyBorder="1" applyAlignment="1">
      <alignment horizontal="center" vertical="center"/>
    </xf>
    <xf numFmtId="13" fontId="30" fillId="3" borderId="1" xfId="0" applyNumberFormat="1" applyFont="1" applyFill="1" applyBorder="1" applyAlignment="1">
      <alignment horizontal="center" vertical="center"/>
    </xf>
    <xf numFmtId="166" fontId="30" fillId="0" borderId="1" xfId="3" applyNumberFormat="1" applyFont="1" applyFill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7" fillId="0" borderId="1" xfId="0" applyFont="1" applyBorder="1" applyAlignment="1">
      <alignment horizontal="center" vertical="center"/>
    </xf>
    <xf numFmtId="165" fontId="27" fillId="0" borderId="1" xfId="3" applyFont="1" applyBorder="1" applyAlignment="1">
      <alignment horizontal="center" vertical="center"/>
    </xf>
    <xf numFmtId="165" fontId="30" fillId="0" borderId="2" xfId="3" applyFont="1" applyFill="1" applyBorder="1" applyAlignment="1">
      <alignment horizontal="center" vertical="center"/>
    </xf>
    <xf numFmtId="0" fontId="32" fillId="0" borderId="0" xfId="1" applyAlignment="1" applyProtection="1">
      <alignment vertical="center"/>
    </xf>
    <xf numFmtId="0" fontId="27" fillId="0" borderId="0" xfId="0" applyFont="1"/>
    <xf numFmtId="0" fontId="37" fillId="2" borderId="32" xfId="0" applyFont="1" applyFill="1" applyBorder="1" applyAlignment="1">
      <alignment horizontal="center" vertical="center"/>
    </xf>
    <xf numFmtId="0" fontId="37" fillId="2" borderId="33" xfId="0" applyFont="1" applyFill="1" applyBorder="1" applyAlignment="1">
      <alignment horizontal="center" vertical="center"/>
    </xf>
    <xf numFmtId="165" fontId="37" fillId="2" borderId="33" xfId="3" applyFont="1" applyFill="1" applyBorder="1" applyAlignment="1">
      <alignment horizontal="center" vertical="center"/>
    </xf>
    <xf numFmtId="165" fontId="30" fillId="0" borderId="0" xfId="3" applyFont="1" applyFill="1" applyAlignment="1">
      <alignment vertical="center"/>
    </xf>
    <xf numFmtId="165" fontId="27" fillId="0" borderId="1" xfId="3" applyFont="1" applyFill="1" applyBorder="1" applyAlignment="1">
      <alignment horizontal="center" vertical="center"/>
    </xf>
    <xf numFmtId="164" fontId="27" fillId="0" borderId="34" xfId="0" applyNumberFormat="1" applyFont="1" applyBorder="1" applyAlignment="1">
      <alignment vertical="center"/>
    </xf>
    <xf numFmtId="165" fontId="27" fillId="0" borderId="35" xfId="3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0" xfId="0" applyFont="1" applyAlignment="1">
      <alignment horizontal="center" vertical="center"/>
    </xf>
    <xf numFmtId="165" fontId="27" fillId="0" borderId="0" xfId="3" applyFont="1" applyAlignment="1">
      <alignment horizontal="center" vertical="center"/>
    </xf>
    <xf numFmtId="165" fontId="27" fillId="0" borderId="3" xfId="3" applyFont="1" applyBorder="1" applyAlignment="1">
      <alignment horizontal="center" vertical="center"/>
    </xf>
    <xf numFmtId="2" fontId="30" fillId="0" borderId="1" xfId="3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30" fillId="0" borderId="0" xfId="3" applyFont="1" applyAlignment="1">
      <alignment horizontal="right" vertical="center"/>
    </xf>
    <xf numFmtId="165" fontId="27" fillId="2" borderId="7" xfId="3" applyFont="1" applyFill="1" applyBorder="1" applyAlignment="1">
      <alignment horizontal="center" vertical="center"/>
    </xf>
    <xf numFmtId="165" fontId="27" fillId="0" borderId="14" xfId="3" applyFont="1" applyBorder="1" applyAlignment="1">
      <alignment vertical="center"/>
    </xf>
    <xf numFmtId="165" fontId="27" fillId="0" borderId="9" xfId="0" applyNumberFormat="1" applyFont="1" applyBorder="1" applyAlignment="1">
      <alignment vertical="center"/>
    </xf>
    <xf numFmtId="165" fontId="27" fillId="0" borderId="9" xfId="3" applyFont="1" applyBorder="1" applyAlignment="1">
      <alignment vertical="center"/>
    </xf>
    <xf numFmtId="10" fontId="27" fillId="0" borderId="15" xfId="2" applyNumberFormat="1" applyFont="1" applyBorder="1" applyAlignment="1">
      <alignment vertical="center"/>
    </xf>
    <xf numFmtId="165" fontId="27" fillId="0" borderId="38" xfId="3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5" fontId="30" fillId="0" borderId="39" xfId="3" applyFont="1" applyBorder="1" applyAlignment="1">
      <alignment vertical="center"/>
    </xf>
    <xf numFmtId="165" fontId="30" fillId="0" borderId="40" xfId="3" applyFont="1" applyBorder="1" applyAlignment="1">
      <alignment vertical="center"/>
    </xf>
    <xf numFmtId="165" fontId="30" fillId="0" borderId="41" xfId="3" applyFont="1" applyBorder="1" applyAlignment="1">
      <alignment vertical="center"/>
    </xf>
    <xf numFmtId="0" fontId="30" fillId="0" borderId="41" xfId="0" applyFont="1" applyBorder="1" applyAlignment="1">
      <alignment vertical="center"/>
    </xf>
    <xf numFmtId="1" fontId="30" fillId="0" borderId="37" xfId="3" applyNumberFormat="1" applyFont="1" applyBorder="1" applyAlignment="1">
      <alignment horizontal="center" vertical="center"/>
    </xf>
    <xf numFmtId="165" fontId="27" fillId="0" borderId="14" xfId="3" applyFont="1" applyBorder="1" applyAlignment="1">
      <alignment horizontal="left" vertical="center"/>
    </xf>
    <xf numFmtId="4" fontId="27" fillId="0" borderId="9" xfId="0" applyNumberFormat="1" applyFont="1" applyBorder="1" applyAlignment="1">
      <alignment horizontal="centerContinuous" vertical="center"/>
    </xf>
    <xf numFmtId="4" fontId="30" fillId="0" borderId="0" xfId="0" applyNumberFormat="1" applyFont="1" applyAlignment="1">
      <alignment vertical="center"/>
    </xf>
    <xf numFmtId="165" fontId="30" fillId="6" borderId="1" xfId="3" applyFont="1" applyFill="1" applyBorder="1" applyAlignment="1">
      <alignment horizontal="center" vertical="center"/>
    </xf>
    <xf numFmtId="165" fontId="30" fillId="6" borderId="1" xfId="3" applyFont="1" applyFill="1" applyBorder="1" applyAlignment="1">
      <alignment vertical="center"/>
    </xf>
    <xf numFmtId="9" fontId="27" fillId="0" borderId="18" xfId="2" applyFont="1" applyBorder="1" applyAlignment="1">
      <alignment vertical="center"/>
    </xf>
    <xf numFmtId="10" fontId="30" fillId="0" borderId="15" xfId="2" applyNumberFormat="1" applyFont="1" applyBorder="1" applyAlignment="1">
      <alignment vertical="center"/>
    </xf>
    <xf numFmtId="0" fontId="29" fillId="0" borderId="0" xfId="0" applyFont="1"/>
    <xf numFmtId="0" fontId="29" fillId="0" borderId="0" xfId="0" applyFont="1" applyAlignment="1">
      <alignment horizontal="center"/>
    </xf>
    <xf numFmtId="165" fontId="30" fillId="0" borderId="1" xfId="0" applyNumberFormat="1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0" fillId="0" borderId="38" xfId="0" applyBorder="1" applyAlignment="1">
      <alignment vertical="center"/>
    </xf>
    <xf numFmtId="165" fontId="0" fillId="0" borderId="0" xfId="3" applyFont="1" applyFill="1" applyBorder="1" applyAlignment="1">
      <alignment vertical="center"/>
    </xf>
    <xf numFmtId="165" fontId="0" fillId="0" borderId="39" xfId="3" applyFont="1" applyFill="1" applyBorder="1" applyAlignment="1">
      <alignment vertical="center"/>
    </xf>
    <xf numFmtId="166" fontId="27" fillId="0" borderId="0" xfId="3" applyNumberFormat="1" applyFont="1" applyBorder="1" applyAlignment="1">
      <alignment horizontal="center" vertical="center"/>
    </xf>
    <xf numFmtId="0" fontId="40" fillId="0" borderId="14" xfId="0" applyFont="1" applyBorder="1"/>
    <xf numFmtId="0" fontId="40" fillId="0" borderId="47" xfId="0" applyFont="1" applyBorder="1"/>
    <xf numFmtId="0" fontId="40" fillId="3" borderId="20" xfId="0" applyFont="1" applyFill="1" applyBorder="1"/>
    <xf numFmtId="0" fontId="40" fillId="0" borderId="23" xfId="0" applyFont="1" applyBorder="1"/>
    <xf numFmtId="0" fontId="40" fillId="0" borderId="48" xfId="0" applyFont="1" applyBorder="1"/>
    <xf numFmtId="0" fontId="40" fillId="0" borderId="20" xfId="0" applyFont="1" applyBorder="1"/>
    <xf numFmtId="0" fontId="40" fillId="0" borderId="28" xfId="0" applyFont="1" applyBorder="1"/>
    <xf numFmtId="2" fontId="41" fillId="7" borderId="1" xfId="0" applyNumberFormat="1" applyFont="1" applyFill="1" applyBorder="1" applyAlignment="1">
      <alignment horizontal="right" vertical="center"/>
    </xf>
    <xf numFmtId="0" fontId="41" fillId="0" borderId="23" xfId="0" applyFont="1" applyBorder="1" applyAlignment="1">
      <alignment horizontal="center" vertical="center"/>
    </xf>
    <xf numFmtId="0" fontId="41" fillId="0" borderId="24" xfId="0" applyFont="1" applyBorder="1" applyAlignment="1">
      <alignment horizontal="center" vertical="center"/>
    </xf>
    <xf numFmtId="2" fontId="41" fillId="7" borderId="36" xfId="0" applyNumberFormat="1" applyFont="1" applyFill="1" applyBorder="1" applyAlignment="1">
      <alignment horizontal="right" vertical="center"/>
    </xf>
    <xf numFmtId="0" fontId="41" fillId="0" borderId="23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1" fillId="0" borderId="20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10" fontId="41" fillId="0" borderId="20" xfId="0" applyNumberFormat="1" applyFont="1" applyBorder="1" applyAlignment="1">
      <alignment horizontal="right" vertical="center"/>
    </xf>
    <xf numFmtId="0" fontId="45" fillId="0" borderId="1" xfId="0" applyFont="1" applyBorder="1" applyAlignment="1">
      <alignment horizontal="left" vertical="center"/>
    </xf>
    <xf numFmtId="10" fontId="45" fillId="0" borderId="20" xfId="0" applyNumberFormat="1" applyFont="1" applyBorder="1" applyAlignment="1">
      <alignment horizontal="right" vertical="center"/>
    </xf>
    <xf numFmtId="0" fontId="41" fillId="5" borderId="23" xfId="0" applyFont="1" applyFill="1" applyBorder="1" applyAlignment="1">
      <alignment horizontal="left" vertical="center"/>
    </xf>
    <xf numFmtId="0" fontId="45" fillId="5" borderId="1" xfId="0" applyFont="1" applyFill="1" applyBorder="1" applyAlignment="1">
      <alignment horizontal="left" vertical="center"/>
    </xf>
    <xf numFmtId="10" fontId="45" fillId="5" borderId="20" xfId="0" applyNumberFormat="1" applyFont="1" applyFill="1" applyBorder="1" applyAlignment="1">
      <alignment horizontal="right" vertical="center"/>
    </xf>
    <xf numFmtId="0" fontId="46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10" fontId="30" fillId="0" borderId="0" xfId="0" applyNumberFormat="1" applyFont="1"/>
    <xf numFmtId="9" fontId="41" fillId="0" borderId="0" xfId="2" applyFont="1" applyBorder="1" applyAlignment="1">
      <alignment horizontal="right" vertical="center"/>
    </xf>
    <xf numFmtId="0" fontId="41" fillId="0" borderId="1" xfId="0" applyFont="1" applyBorder="1" applyAlignment="1">
      <alignment horizontal="left" vertical="center" wrapText="1"/>
    </xf>
    <xf numFmtId="0" fontId="41" fillId="9" borderId="24" xfId="0" applyFont="1" applyFill="1" applyBorder="1" applyAlignment="1">
      <alignment horizontal="left" vertical="center"/>
    </xf>
    <xf numFmtId="0" fontId="45" fillId="9" borderId="36" xfId="0" applyFont="1" applyFill="1" applyBorder="1" applyAlignment="1">
      <alignment horizontal="left" vertical="center"/>
    </xf>
    <xf numFmtId="10" fontId="45" fillId="9" borderId="37" xfId="0" applyNumberFormat="1" applyFont="1" applyFill="1" applyBorder="1" applyAlignment="1">
      <alignment horizontal="right" vertical="center"/>
    </xf>
    <xf numFmtId="0" fontId="45" fillId="0" borderId="0" xfId="0" applyFont="1" applyAlignment="1">
      <alignment horizontal="left" vertical="center"/>
    </xf>
    <xf numFmtId="10" fontId="45" fillId="0" borderId="0" xfId="0" applyNumberFormat="1" applyFont="1" applyAlignment="1">
      <alignment horizontal="right" vertical="center"/>
    </xf>
    <xf numFmtId="0" fontId="47" fillId="4" borderId="0" xfId="0" applyFont="1" applyFill="1" applyAlignment="1">
      <alignment horizontal="left" vertical="center"/>
    </xf>
    <xf numFmtId="10" fontId="41" fillId="0" borderId="0" xfId="0" applyNumberFormat="1" applyFont="1" applyAlignment="1">
      <alignment horizontal="right" vertical="center"/>
    </xf>
    <xf numFmtId="0" fontId="41" fillId="4" borderId="0" xfId="0" applyFont="1" applyFill="1" applyAlignment="1">
      <alignment horizontal="left" vertical="center"/>
    </xf>
    <xf numFmtId="0" fontId="48" fillId="0" borderId="0" xfId="0" applyFont="1" applyAlignment="1">
      <alignment horizontal="justify" vertical="center"/>
    </xf>
    <xf numFmtId="0" fontId="32" fillId="0" borderId="0" xfId="1" applyBorder="1" applyAlignment="1" applyProtection="1">
      <alignment horizontal="left" vertical="center"/>
    </xf>
    <xf numFmtId="0" fontId="49" fillId="0" borderId="0" xfId="0" applyFont="1"/>
    <xf numFmtId="0" fontId="41" fillId="0" borderId="0" xfId="0" applyFont="1" applyAlignment="1">
      <alignment horizontal="right" vertical="center"/>
    </xf>
    <xf numFmtId="0" fontId="32" fillId="0" borderId="0" xfId="1" applyBorder="1" applyAlignment="1" applyProtection="1">
      <alignment vertical="center"/>
    </xf>
    <xf numFmtId="0" fontId="29" fillId="0" borderId="15" xfId="0" applyFont="1" applyBorder="1"/>
    <xf numFmtId="0" fontId="29" fillId="0" borderId="23" xfId="0" applyFont="1" applyBorder="1"/>
    <xf numFmtId="0" fontId="29" fillId="3" borderId="20" xfId="0" applyFont="1" applyFill="1" applyBorder="1"/>
    <xf numFmtId="0" fontId="29" fillId="0" borderId="47" xfId="0" applyFont="1" applyBorder="1"/>
    <xf numFmtId="0" fontId="29" fillId="3" borderId="48" xfId="0" applyFont="1" applyFill="1" applyBorder="1"/>
    <xf numFmtId="0" fontId="29" fillId="0" borderId="49" xfId="0" applyFont="1" applyBorder="1"/>
    <xf numFmtId="0" fontId="29" fillId="3" borderId="50" xfId="0" applyFont="1" applyFill="1" applyBorder="1"/>
    <xf numFmtId="0" fontId="29" fillId="0" borderId="38" xfId="0" applyFont="1" applyBorder="1"/>
    <xf numFmtId="0" fontId="29" fillId="0" borderId="39" xfId="0" applyFont="1" applyBorder="1"/>
    <xf numFmtId="0" fontId="31" fillId="0" borderId="48" xfId="0" applyFont="1" applyBorder="1"/>
    <xf numFmtId="0" fontId="31" fillId="0" borderId="38" xfId="0" applyFont="1" applyBorder="1" applyAlignment="1">
      <alignment horizontal="left" vertical="center"/>
    </xf>
    <xf numFmtId="9" fontId="29" fillId="0" borderId="23" xfId="2" applyFont="1" applyBorder="1"/>
    <xf numFmtId="9" fontId="29" fillId="0" borderId="1" xfId="2" applyFont="1" applyBorder="1" applyAlignment="1">
      <alignment horizontal="center"/>
    </xf>
    <xf numFmtId="9" fontId="29" fillId="0" borderId="20" xfId="2" applyFont="1" applyBorder="1"/>
    <xf numFmtId="0" fontId="29" fillId="0" borderId="21" xfId="0" applyFont="1" applyBorder="1" applyAlignment="1">
      <alignment horizontal="left" vertical="center"/>
    </xf>
    <xf numFmtId="0" fontId="29" fillId="0" borderId="22" xfId="0" applyFont="1" applyBorder="1" applyAlignment="1">
      <alignment horizontal="center" vertical="center"/>
    </xf>
    <xf numFmtId="10" fontId="29" fillId="3" borderId="12" xfId="0" applyNumberFormat="1" applyFont="1" applyFill="1" applyBorder="1" applyAlignment="1">
      <alignment horizontal="center" vertical="center"/>
    </xf>
    <xf numFmtId="10" fontId="29" fillId="0" borderId="20" xfId="2" applyNumberFormat="1" applyFont="1" applyBorder="1"/>
    <xf numFmtId="0" fontId="29" fillId="0" borderId="23" xfId="0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10" fontId="29" fillId="3" borderId="20" xfId="0" applyNumberFormat="1" applyFont="1" applyFill="1" applyBorder="1" applyAlignment="1">
      <alignment horizontal="center" vertical="center"/>
    </xf>
    <xf numFmtId="10" fontId="29" fillId="0" borderId="20" xfId="0" applyNumberFormat="1" applyFont="1" applyBorder="1" applyAlignment="1">
      <alignment horizontal="center" vertical="center"/>
    </xf>
    <xf numFmtId="10" fontId="29" fillId="3" borderId="1" xfId="2" applyNumberFormat="1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0" fontId="29" fillId="0" borderId="20" xfId="0" applyFont="1" applyBorder="1"/>
    <xf numFmtId="0" fontId="29" fillId="0" borderId="24" xfId="0" applyFont="1" applyBorder="1" applyAlignment="1">
      <alignment horizontal="left" vertical="center"/>
    </xf>
    <xf numFmtId="10" fontId="29" fillId="3" borderId="37" xfId="0" applyNumberFormat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29" fillId="0" borderId="25" xfId="0" applyFont="1" applyBorder="1" applyAlignment="1">
      <alignment vertical="center"/>
    </xf>
    <xf numFmtId="0" fontId="29" fillId="0" borderId="26" xfId="0" applyFont="1" applyBorder="1" applyAlignment="1">
      <alignment vertical="center"/>
    </xf>
    <xf numFmtId="10" fontId="29" fillId="0" borderId="27" xfId="0" applyNumberFormat="1" applyFont="1" applyBorder="1" applyAlignment="1">
      <alignment vertical="center"/>
    </xf>
    <xf numFmtId="0" fontId="29" fillId="0" borderId="28" xfId="0" applyFont="1" applyBorder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9" fillId="0" borderId="30" xfId="0" applyFont="1" applyBorder="1" applyAlignment="1">
      <alignment vertical="center"/>
    </xf>
    <xf numFmtId="0" fontId="31" fillId="5" borderId="5" xfId="0" applyFont="1" applyFill="1" applyBorder="1" applyAlignment="1">
      <alignment vertical="center" wrapText="1"/>
    </xf>
    <xf numFmtId="0" fontId="29" fillId="5" borderId="6" xfId="0" applyFont="1" applyFill="1" applyBorder="1" applyAlignment="1">
      <alignment vertical="center"/>
    </xf>
    <xf numFmtId="10" fontId="31" fillId="5" borderId="7" xfId="0" applyNumberFormat="1" applyFont="1" applyFill="1" applyBorder="1" applyAlignment="1">
      <alignment horizontal="center" vertical="center" wrapText="1"/>
    </xf>
    <xf numFmtId="10" fontId="29" fillId="0" borderId="23" xfId="2" applyNumberFormat="1" applyFont="1" applyBorder="1" applyAlignment="1">
      <alignment horizontal="right"/>
    </xf>
    <xf numFmtId="10" fontId="29" fillId="0" borderId="1" xfId="2" applyNumberFormat="1" applyFont="1" applyBorder="1" applyAlignment="1">
      <alignment horizontal="right"/>
    </xf>
    <xf numFmtId="10" fontId="29" fillId="0" borderId="20" xfId="2" applyNumberFormat="1" applyFont="1" applyBorder="1" applyAlignment="1">
      <alignment horizontal="right"/>
    </xf>
    <xf numFmtId="10" fontId="29" fillId="0" borderId="24" xfId="2" applyNumberFormat="1" applyFont="1" applyBorder="1" applyAlignment="1">
      <alignment horizontal="right"/>
    </xf>
    <xf numFmtId="10" fontId="29" fillId="0" borderId="36" xfId="2" applyNumberFormat="1" applyFont="1" applyBorder="1" applyAlignment="1">
      <alignment horizontal="right"/>
    </xf>
    <xf numFmtId="10" fontId="29" fillId="0" borderId="37" xfId="2" applyNumberFormat="1" applyFont="1" applyBorder="1" applyAlignment="1">
      <alignment horizontal="right"/>
    </xf>
    <xf numFmtId="0" fontId="30" fillId="0" borderId="52" xfId="0" applyFont="1" applyBorder="1"/>
    <xf numFmtId="0" fontId="42" fillId="0" borderId="52" xfId="0" applyFont="1" applyBorder="1" applyAlignment="1">
      <alignment horizontal="justify"/>
    </xf>
    <xf numFmtId="0" fontId="42" fillId="0" borderId="53" xfId="0" applyFont="1" applyBorder="1" applyAlignment="1">
      <alignment horizontal="justify"/>
    </xf>
    <xf numFmtId="0" fontId="39" fillId="10" borderId="51" xfId="0" applyFont="1" applyFill="1" applyBorder="1" applyAlignment="1">
      <alignment horizontal="center"/>
    </xf>
    <xf numFmtId="1" fontId="30" fillId="0" borderId="0" xfId="3" applyNumberFormat="1" applyFont="1" applyBorder="1" applyAlignment="1">
      <alignment horizontal="center" vertical="center"/>
    </xf>
    <xf numFmtId="0" fontId="30" fillId="0" borderId="8" xfId="0" applyFont="1" applyBorder="1" applyAlignment="1">
      <alignment vertical="center"/>
    </xf>
    <xf numFmtId="0" fontId="30" fillId="0" borderId="9" xfId="0" applyFont="1" applyBorder="1" applyAlignment="1">
      <alignment vertical="center"/>
    </xf>
    <xf numFmtId="165" fontId="30" fillId="3" borderId="9" xfId="3" applyFont="1" applyFill="1" applyBorder="1" applyAlignment="1">
      <alignment vertical="center"/>
    </xf>
    <xf numFmtId="165" fontId="30" fillId="0" borderId="10" xfId="3" applyFont="1" applyBorder="1" applyAlignment="1">
      <alignment vertical="center"/>
    </xf>
    <xf numFmtId="165" fontId="27" fillId="0" borderId="7" xfId="3" applyFont="1" applyBorder="1" applyAlignment="1">
      <alignment horizontal="right" vertical="center"/>
    </xf>
    <xf numFmtId="165" fontId="27" fillId="2" borderId="4" xfId="3" applyFont="1" applyFill="1" applyBorder="1" applyAlignment="1">
      <alignment horizontal="right" vertical="center"/>
    </xf>
    <xf numFmtId="168" fontId="27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27" fillId="0" borderId="36" xfId="0" applyNumberFormat="1" applyFont="1" applyBorder="1" applyAlignment="1">
      <alignment vertical="center"/>
    </xf>
    <xf numFmtId="165" fontId="27" fillId="0" borderId="11" xfId="3" applyFont="1" applyBorder="1" applyAlignment="1">
      <alignment vertical="center"/>
    </xf>
    <xf numFmtId="165" fontId="27" fillId="0" borderId="5" xfId="3" applyFont="1" applyBorder="1" applyAlignment="1">
      <alignment vertical="center"/>
    </xf>
    <xf numFmtId="0" fontId="28" fillId="0" borderId="38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7" borderId="1" xfId="0" applyFont="1" applyFill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65" fontId="27" fillId="0" borderId="9" xfId="3" applyFont="1" applyBorder="1" applyAlignment="1">
      <alignment horizontal="center" vertical="center"/>
    </xf>
    <xf numFmtId="0" fontId="37" fillId="2" borderId="17" xfId="0" applyFont="1" applyFill="1" applyBorder="1" applyAlignment="1">
      <alignment horizontal="center" vertical="center" wrapText="1"/>
    </xf>
    <xf numFmtId="167" fontId="30" fillId="0" borderId="1" xfId="3" applyNumberFormat="1" applyFont="1" applyBorder="1" applyAlignment="1">
      <alignment horizontal="center" vertical="center"/>
    </xf>
    <xf numFmtId="166" fontId="27" fillId="0" borderId="1" xfId="3" applyNumberFormat="1" applyFont="1" applyBorder="1" applyAlignment="1">
      <alignment horizontal="center" vertical="center"/>
    </xf>
    <xf numFmtId="167" fontId="27" fillId="0" borderId="1" xfId="3" applyNumberFormat="1" applyFont="1" applyBorder="1" applyAlignment="1">
      <alignment horizontal="center" vertical="center"/>
    </xf>
    <xf numFmtId="167" fontId="30" fillId="0" borderId="2" xfId="3" applyNumberFormat="1" applyFon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5" fillId="0" borderId="0" xfId="0" applyFont="1"/>
    <xf numFmtId="0" fontId="27" fillId="0" borderId="54" xfId="0" applyFont="1" applyBorder="1" applyAlignment="1">
      <alignment vertical="center"/>
    </xf>
    <xf numFmtId="0" fontId="27" fillId="0" borderId="54" xfId="0" applyFont="1" applyBorder="1" applyAlignment="1">
      <alignment horizontal="center" vertical="center"/>
    </xf>
    <xf numFmtId="165" fontId="27" fillId="0" borderId="54" xfId="3" applyFont="1" applyBorder="1" applyAlignment="1">
      <alignment horizontal="center" vertical="center"/>
    </xf>
    <xf numFmtId="165" fontId="27" fillId="0" borderId="54" xfId="3" applyFont="1" applyFill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31" fillId="0" borderId="23" xfId="0" applyFont="1" applyBorder="1"/>
    <xf numFmtId="0" fontId="31" fillId="0" borderId="1" xfId="0" applyFont="1" applyBorder="1"/>
    <xf numFmtId="0" fontId="31" fillId="0" borderId="20" xfId="0" applyFont="1" applyBorder="1"/>
    <xf numFmtId="0" fontId="29" fillId="0" borderId="1" xfId="0" applyFont="1" applyBorder="1"/>
    <xf numFmtId="170" fontId="29" fillId="0" borderId="20" xfId="0" applyNumberFormat="1" applyFont="1" applyBorder="1"/>
    <xf numFmtId="2" fontId="29" fillId="0" borderId="20" xfId="0" applyNumberFormat="1" applyFont="1" applyBorder="1"/>
    <xf numFmtId="0" fontId="29" fillId="0" borderId="24" xfId="0" applyFont="1" applyBorder="1"/>
    <xf numFmtId="0" fontId="29" fillId="0" borderId="36" xfId="0" applyFont="1" applyBorder="1"/>
    <xf numFmtId="170" fontId="29" fillId="3" borderId="20" xfId="0" applyNumberFormat="1" applyFont="1" applyFill="1" applyBorder="1"/>
    <xf numFmtId="170" fontId="29" fillId="0" borderId="37" xfId="0" applyNumberFormat="1" applyFont="1" applyBorder="1"/>
    <xf numFmtId="0" fontId="39" fillId="0" borderId="1" xfId="0" applyFont="1" applyBorder="1" applyAlignment="1">
      <alignment horizontal="center"/>
    </xf>
    <xf numFmtId="0" fontId="39" fillId="0" borderId="23" xfId="0" applyFont="1" applyBorder="1" applyAlignment="1">
      <alignment horizontal="center"/>
    </xf>
    <xf numFmtId="0" fontId="39" fillId="0" borderId="20" xfId="0" applyFont="1" applyBorder="1" applyAlignment="1">
      <alignment horizontal="center"/>
    </xf>
    <xf numFmtId="0" fontId="29" fillId="0" borderId="23" xfId="0" applyFont="1" applyBorder="1" applyAlignment="1">
      <alignment horizontal="right"/>
    </xf>
    <xf numFmtId="4" fontId="51" fillId="0" borderId="0" xfId="0" applyNumberFormat="1" applyFont="1" applyAlignment="1">
      <alignment vertical="center"/>
    </xf>
    <xf numFmtId="4" fontId="52" fillId="0" borderId="0" xfId="0" applyNumberFormat="1" applyFont="1" applyAlignment="1">
      <alignment vertical="center"/>
    </xf>
    <xf numFmtId="0" fontId="50" fillId="0" borderId="0" xfId="0" applyFont="1"/>
    <xf numFmtId="0" fontId="25" fillId="0" borderId="2" xfId="0" applyFont="1" applyBorder="1" applyAlignment="1">
      <alignment vertical="center"/>
    </xf>
    <xf numFmtId="169" fontId="31" fillId="0" borderId="20" xfId="0" applyNumberFormat="1" applyFont="1" applyBorder="1"/>
    <xf numFmtId="9" fontId="40" fillId="0" borderId="20" xfId="2" applyFont="1" applyBorder="1"/>
    <xf numFmtId="10" fontId="40" fillId="0" borderId="20" xfId="2" applyNumberFormat="1" applyFont="1" applyBorder="1"/>
    <xf numFmtId="9" fontId="31" fillId="0" borderId="31" xfId="2" applyFont="1" applyBorder="1"/>
    <xf numFmtId="0" fontId="29" fillId="0" borderId="55" xfId="0" applyFont="1" applyBorder="1"/>
    <xf numFmtId="170" fontId="29" fillId="0" borderId="0" xfId="0" applyNumberFormat="1" applyFont="1"/>
    <xf numFmtId="165" fontId="25" fillId="3" borderId="2" xfId="3" applyFont="1" applyFill="1" applyBorder="1" applyAlignment="1">
      <alignment horizontal="center" vertical="center"/>
    </xf>
    <xf numFmtId="10" fontId="27" fillId="3" borderId="7" xfId="2" applyNumberFormat="1" applyFont="1" applyFill="1" applyBorder="1" applyAlignment="1">
      <alignment vertical="center"/>
    </xf>
    <xf numFmtId="173" fontId="30" fillId="0" borderId="1" xfId="3" applyNumberFormat="1" applyFont="1" applyBorder="1" applyAlignment="1">
      <alignment vertical="center"/>
    </xf>
    <xf numFmtId="0" fontId="54" fillId="0" borderId="0" xfId="25" applyFont="1"/>
    <xf numFmtId="0" fontId="23" fillId="0" borderId="0" xfId="25"/>
    <xf numFmtId="0" fontId="54" fillId="0" borderId="1" xfId="25" applyFont="1" applyBorder="1"/>
    <xf numFmtId="0" fontId="23" fillId="0" borderId="8" xfId="25" applyBorder="1"/>
    <xf numFmtId="0" fontId="23" fillId="0" borderId="9" xfId="25" applyBorder="1"/>
    <xf numFmtId="0" fontId="23" fillId="0" borderId="1" xfId="25" applyBorder="1"/>
    <xf numFmtId="0" fontId="54" fillId="0" borderId="8" xfId="25" applyFont="1" applyBorder="1"/>
    <xf numFmtId="0" fontId="54" fillId="0" borderId="9" xfId="25" applyFont="1" applyBorder="1"/>
    <xf numFmtId="10" fontId="54" fillId="0" borderId="1" xfId="2" applyNumberFormat="1" applyFont="1" applyBorder="1"/>
    <xf numFmtId="165" fontId="0" fillId="3" borderId="1" xfId="3" applyFont="1" applyFill="1" applyBorder="1"/>
    <xf numFmtId="13" fontId="25" fillId="3" borderId="1" xfId="0" applyNumberFormat="1" applyFont="1" applyFill="1" applyBorder="1" applyAlignment="1">
      <alignment vertical="center"/>
    </xf>
    <xf numFmtId="0" fontId="25" fillId="0" borderId="1" xfId="0" applyFont="1" applyBorder="1" applyAlignment="1">
      <alignment vertical="center"/>
    </xf>
    <xf numFmtId="165" fontId="23" fillId="0" borderId="1" xfId="3" applyFont="1" applyBorder="1"/>
    <xf numFmtId="13" fontId="30" fillId="3" borderId="1" xfId="0" applyNumberFormat="1" applyFont="1" applyFill="1" applyBorder="1" applyAlignment="1">
      <alignment vertical="center"/>
    </xf>
    <xf numFmtId="165" fontId="54" fillId="0" borderId="1" xfId="3" applyFont="1" applyBorder="1"/>
    <xf numFmtId="165" fontId="30" fillId="0" borderId="0" xfId="0" applyNumberFormat="1" applyFont="1" applyAlignment="1">
      <alignment vertical="center"/>
    </xf>
    <xf numFmtId="4" fontId="28" fillId="0" borderId="0" xfId="0" applyNumberFormat="1" applyFont="1" applyAlignment="1">
      <alignment vertical="center"/>
    </xf>
    <xf numFmtId="4" fontId="30" fillId="3" borderId="1" xfId="0" applyNumberFormat="1" applyFont="1" applyFill="1" applyBorder="1" applyAlignment="1">
      <alignment vertical="center"/>
    </xf>
    <xf numFmtId="165" fontId="25" fillId="0" borderId="0" xfId="3" applyFont="1" applyAlignment="1">
      <alignment vertical="center"/>
    </xf>
    <xf numFmtId="165" fontId="25" fillId="0" borderId="1" xfId="3" applyFont="1" applyBorder="1" applyAlignment="1">
      <alignment horizontal="center" vertical="center"/>
    </xf>
    <xf numFmtId="165" fontId="25" fillId="0" borderId="0" xfId="3" applyFont="1" applyAlignment="1">
      <alignment horizontal="right" vertical="center"/>
    </xf>
    <xf numFmtId="166" fontId="25" fillId="0" borderId="1" xfId="3" applyNumberFormat="1" applyFont="1" applyBorder="1" applyAlignment="1">
      <alignment horizontal="center" vertical="center"/>
    </xf>
    <xf numFmtId="165" fontId="25" fillId="3" borderId="1" xfId="3" applyFont="1" applyFill="1" applyBorder="1" applyAlignment="1">
      <alignment horizontal="center" vertical="center"/>
    </xf>
    <xf numFmtId="167" fontId="25" fillId="0" borderId="1" xfId="3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5" fontId="0" fillId="0" borderId="1" xfId="3" applyFont="1" applyBorder="1"/>
    <xf numFmtId="0" fontId="27" fillId="0" borderId="1" xfId="0" applyFont="1" applyBorder="1"/>
    <xf numFmtId="165" fontId="27" fillId="0" borderId="1" xfId="3" applyFont="1" applyBorder="1"/>
    <xf numFmtId="0" fontId="25" fillId="0" borderId="1" xfId="0" applyFont="1" applyBorder="1"/>
    <xf numFmtId="165" fontId="0" fillId="0" borderId="0" xfId="3" applyFont="1"/>
    <xf numFmtId="165" fontId="0" fillId="0" borderId="0" xfId="0" applyNumberFormat="1"/>
    <xf numFmtId="174" fontId="23" fillId="0" borderId="0" xfId="25" applyNumberFormat="1"/>
    <xf numFmtId="173" fontId="30" fillId="0" borderId="0" xfId="3" applyNumberFormat="1" applyFont="1" applyAlignment="1">
      <alignment vertical="center"/>
    </xf>
    <xf numFmtId="0" fontId="25" fillId="0" borderId="1" xfId="0" applyFont="1" applyBorder="1" applyAlignment="1">
      <alignment horizontal="center" vertical="center"/>
    </xf>
    <xf numFmtId="10" fontId="0" fillId="0" borderId="1" xfId="2" applyNumberFormat="1" applyFont="1" applyBorder="1"/>
    <xf numFmtId="173" fontId="30" fillId="0" borderId="0" xfId="3" applyNumberFormat="1" applyFont="1" applyBorder="1" applyAlignment="1">
      <alignment vertical="center"/>
    </xf>
    <xf numFmtId="1" fontId="25" fillId="0" borderId="1" xfId="3" applyNumberFormat="1" applyFont="1" applyFill="1" applyBorder="1" applyAlignment="1">
      <alignment horizontal="center" vertical="center"/>
    </xf>
    <xf numFmtId="44" fontId="25" fillId="3" borderId="1" xfId="6" applyFont="1" applyFill="1" applyBorder="1" applyAlignment="1">
      <alignment horizontal="center" vertical="center"/>
    </xf>
    <xf numFmtId="44" fontId="25" fillId="3" borderId="1" xfId="6" applyFont="1" applyFill="1" applyBorder="1" applyAlignment="1">
      <alignment vertical="center"/>
    </xf>
    <xf numFmtId="0" fontId="26" fillId="0" borderId="56" xfId="0" applyFont="1" applyBorder="1" applyAlignment="1">
      <alignment vertical="center"/>
    </xf>
    <xf numFmtId="44" fontId="27" fillId="2" borderId="4" xfId="6" applyFont="1" applyFill="1" applyBorder="1" applyAlignment="1">
      <alignment vertical="center"/>
    </xf>
    <xf numFmtId="13" fontId="30" fillId="3" borderId="1" xfId="0" applyNumberFormat="1" applyFont="1" applyFill="1" applyBorder="1" applyAlignment="1">
      <alignment horizontal="right" vertical="center"/>
    </xf>
    <xf numFmtId="4" fontId="25" fillId="3" borderId="1" xfId="0" applyNumberFormat="1" applyFont="1" applyFill="1" applyBorder="1" applyAlignment="1">
      <alignment horizontal="center" vertical="center"/>
    </xf>
    <xf numFmtId="175" fontId="27" fillId="0" borderId="0" xfId="3" applyNumberFormat="1" applyFont="1" applyAlignment="1">
      <alignment vertical="center"/>
    </xf>
    <xf numFmtId="165" fontId="0" fillId="0" borderId="0" xfId="3" applyFont="1" applyFill="1"/>
    <xf numFmtId="173" fontId="25" fillId="0" borderId="1" xfId="3" applyNumberFormat="1" applyFont="1" applyBorder="1" applyAlignment="1">
      <alignment vertical="center"/>
    </xf>
    <xf numFmtId="2" fontId="23" fillId="0" borderId="1" xfId="25" applyNumberFormat="1" applyBorder="1"/>
    <xf numFmtId="2" fontId="23" fillId="0" borderId="0" xfId="25" applyNumberFormat="1"/>
    <xf numFmtId="173" fontId="23" fillId="0" borderId="0" xfId="3" applyNumberFormat="1" applyFont="1"/>
    <xf numFmtId="10" fontId="54" fillId="0" borderId="0" xfId="2" applyNumberFormat="1" applyFont="1" applyBorder="1"/>
    <xf numFmtId="169" fontId="23" fillId="0" borderId="0" xfId="25" applyNumberFormat="1"/>
    <xf numFmtId="0" fontId="27" fillId="0" borderId="0" xfId="9" applyFont="1" applyAlignment="1">
      <alignment vertical="center"/>
    </xf>
    <xf numFmtId="0" fontId="25" fillId="0" borderId="0" xfId="9" applyAlignment="1">
      <alignment vertical="center"/>
    </xf>
    <xf numFmtId="4" fontId="25" fillId="0" borderId="0" xfId="9" applyNumberFormat="1" applyAlignment="1">
      <alignment vertical="center"/>
    </xf>
    <xf numFmtId="0" fontId="29" fillId="0" borderId="0" xfId="9" applyFont="1" applyAlignment="1">
      <alignment vertical="center"/>
    </xf>
    <xf numFmtId="0" fontId="25" fillId="0" borderId="38" xfId="9" applyBorder="1" applyAlignment="1">
      <alignment vertical="center"/>
    </xf>
    <xf numFmtId="168" fontId="27" fillId="0" borderId="1" xfId="9" applyNumberFormat="1" applyFont="1" applyBorder="1" applyAlignment="1">
      <alignment vertical="center"/>
    </xf>
    <xf numFmtId="4" fontId="27" fillId="0" borderId="9" xfId="9" applyNumberFormat="1" applyFont="1" applyBorder="1" applyAlignment="1">
      <alignment horizontal="centerContinuous" vertical="center"/>
    </xf>
    <xf numFmtId="168" fontId="27" fillId="0" borderId="36" xfId="9" applyNumberFormat="1" applyFont="1" applyBorder="1" applyAlignment="1">
      <alignment vertical="center"/>
    </xf>
    <xf numFmtId="4" fontId="27" fillId="0" borderId="6" xfId="9" applyNumberFormat="1" applyFont="1" applyBorder="1" applyAlignment="1">
      <alignment horizontal="centerContinuous" vertical="center"/>
    </xf>
    <xf numFmtId="164" fontId="27" fillId="0" borderId="34" xfId="9" applyNumberFormat="1" applyFont="1" applyBorder="1" applyAlignment="1">
      <alignment vertical="center"/>
    </xf>
    <xf numFmtId="0" fontId="37" fillId="2" borderId="16" xfId="9" applyFont="1" applyFill="1" applyBorder="1" applyAlignment="1">
      <alignment horizontal="center" vertical="center"/>
    </xf>
    <xf numFmtId="0" fontId="37" fillId="2" borderId="17" xfId="9" applyFont="1" applyFill="1" applyBorder="1" applyAlignment="1">
      <alignment horizontal="center" vertical="center"/>
    </xf>
    <xf numFmtId="0" fontId="25" fillId="0" borderId="2" xfId="9" applyBorder="1" applyAlignment="1">
      <alignment vertical="center"/>
    </xf>
    <xf numFmtId="0" fontId="25" fillId="0" borderId="2" xfId="9" applyBorder="1" applyAlignment="1">
      <alignment horizontal="center" vertical="center"/>
    </xf>
    <xf numFmtId="165" fontId="25" fillId="0" borderId="2" xfId="3" applyFont="1" applyBorder="1" applyAlignment="1">
      <alignment horizontal="center" vertical="center"/>
    </xf>
    <xf numFmtId="0" fontId="25" fillId="0" borderId="1" xfId="9" applyBorder="1" applyAlignment="1">
      <alignment vertical="center"/>
    </xf>
    <xf numFmtId="0" fontId="25" fillId="0" borderId="1" xfId="9" applyBorder="1" applyAlignment="1">
      <alignment horizontal="center" vertical="center"/>
    </xf>
    <xf numFmtId="165" fontId="25" fillId="6" borderId="1" xfId="3" applyFont="1" applyFill="1" applyBorder="1" applyAlignment="1">
      <alignment horizontal="center" vertical="center"/>
    </xf>
    <xf numFmtId="0" fontId="27" fillId="0" borderId="5" xfId="9" applyFont="1" applyBorder="1" applyAlignment="1">
      <alignment vertical="center"/>
    </xf>
    <xf numFmtId="0" fontId="27" fillId="0" borderId="6" xfId="9" applyFont="1" applyBorder="1" applyAlignment="1">
      <alignment vertical="center"/>
    </xf>
    <xf numFmtId="0" fontId="25" fillId="0" borderId="6" xfId="9" applyBorder="1" applyAlignment="1">
      <alignment vertical="center"/>
    </xf>
    <xf numFmtId="165" fontId="25" fillId="0" borderId="6" xfId="3" applyFont="1" applyBorder="1" applyAlignment="1">
      <alignment vertical="center"/>
    </xf>
    <xf numFmtId="165" fontId="25" fillId="0" borderId="7" xfId="3" applyFont="1" applyBorder="1" applyAlignment="1">
      <alignment vertical="center"/>
    </xf>
    <xf numFmtId="165" fontId="25" fillId="0" borderId="0" xfId="3" applyFont="1" applyFill="1" applyAlignment="1">
      <alignment vertical="center"/>
    </xf>
    <xf numFmtId="43" fontId="25" fillId="3" borderId="1" xfId="9" applyNumberFormat="1" applyFill="1" applyBorder="1" applyAlignment="1">
      <alignment vertical="center"/>
    </xf>
    <xf numFmtId="165" fontId="25" fillId="0" borderId="0" xfId="3" applyFont="1" applyFill="1" applyBorder="1" applyAlignment="1">
      <alignment horizontal="center" vertical="center"/>
    </xf>
    <xf numFmtId="0" fontId="27" fillId="0" borderId="25" xfId="9" applyFont="1" applyBorder="1" applyAlignment="1">
      <alignment vertical="center"/>
    </xf>
    <xf numFmtId="0" fontId="25" fillId="0" borderId="26" xfId="9" applyBorder="1" applyAlignment="1">
      <alignment vertical="center"/>
    </xf>
    <xf numFmtId="165" fontId="25" fillId="0" borderId="26" xfId="3" applyFont="1" applyBorder="1" applyAlignment="1">
      <alignment vertical="center"/>
    </xf>
    <xf numFmtId="165" fontId="25" fillId="0" borderId="27" xfId="3" applyFont="1" applyBorder="1" applyAlignment="1">
      <alignment vertical="center"/>
    </xf>
    <xf numFmtId="165" fontId="27" fillId="2" borderId="51" xfId="3" applyFont="1" applyFill="1" applyBorder="1" applyAlignment="1">
      <alignment vertical="center"/>
    </xf>
    <xf numFmtId="0" fontId="28" fillId="0" borderId="8" xfId="9" applyFont="1" applyBorder="1" applyAlignment="1">
      <alignment vertical="center"/>
    </xf>
    <xf numFmtId="0" fontId="28" fillId="0" borderId="9" xfId="9" applyFont="1" applyBorder="1" applyAlignment="1">
      <alignment vertical="center"/>
    </xf>
    <xf numFmtId="43" fontId="28" fillId="0" borderId="9" xfId="9" applyNumberFormat="1" applyFont="1" applyBorder="1" applyAlignment="1">
      <alignment vertical="center"/>
    </xf>
    <xf numFmtId="165" fontId="28" fillId="0" borderId="9" xfId="3" applyFont="1" applyFill="1" applyBorder="1" applyAlignment="1">
      <alignment vertical="center"/>
    </xf>
    <xf numFmtId="165" fontId="28" fillId="0" borderId="10" xfId="3" applyFont="1" applyBorder="1" applyAlignment="1">
      <alignment vertical="center"/>
    </xf>
    <xf numFmtId="0" fontId="55" fillId="0" borderId="0" xfId="51" applyFont="1"/>
    <xf numFmtId="0" fontId="11" fillId="0" borderId="0" xfId="51"/>
    <xf numFmtId="0" fontId="54" fillId="0" borderId="0" xfId="51" applyFont="1"/>
    <xf numFmtId="0" fontId="11" fillId="0" borderId="1" xfId="51" applyBorder="1"/>
    <xf numFmtId="0" fontId="9" fillId="0" borderId="0" xfId="58"/>
    <xf numFmtId="0" fontId="54" fillId="0" borderId="16" xfId="58" applyFont="1" applyBorder="1" applyAlignment="1">
      <alignment horizontal="center" vertical="center"/>
    </xf>
    <xf numFmtId="0" fontId="54" fillId="0" borderId="17" xfId="58" applyFont="1" applyBorder="1" applyAlignment="1">
      <alignment horizontal="center" vertical="center"/>
    </xf>
    <xf numFmtId="0" fontId="9" fillId="0" borderId="22" xfId="58" applyBorder="1" applyAlignment="1">
      <alignment horizontal="center"/>
    </xf>
    <xf numFmtId="2" fontId="54" fillId="0" borderId="12" xfId="58" applyNumberFormat="1" applyFont="1" applyBorder="1" applyAlignment="1">
      <alignment horizontal="right"/>
    </xf>
    <xf numFmtId="0" fontId="9" fillId="0" borderId="36" xfId="58" applyBorder="1" applyAlignment="1">
      <alignment horizontal="center"/>
    </xf>
    <xf numFmtId="2" fontId="54" fillId="0" borderId="37" xfId="58" applyNumberFormat="1" applyFont="1" applyBorder="1" applyAlignment="1">
      <alignment horizontal="right"/>
    </xf>
    <xf numFmtId="2" fontId="9" fillId="0" borderId="0" xfId="58" applyNumberFormat="1"/>
    <xf numFmtId="0" fontId="54" fillId="0" borderId="17" xfId="58" applyFont="1" applyBorder="1" applyAlignment="1">
      <alignment horizontal="center" vertical="center" wrapText="1"/>
    </xf>
    <xf numFmtId="0" fontId="54" fillId="0" borderId="18" xfId="58" applyFont="1" applyBorder="1" applyAlignment="1">
      <alignment horizontal="center" vertical="center" wrapText="1"/>
    </xf>
    <xf numFmtId="2" fontId="54" fillId="0" borderId="1" xfId="25" applyNumberFormat="1" applyFont="1" applyBorder="1"/>
    <xf numFmtId="0" fontId="9" fillId="0" borderId="8" xfId="25" applyFont="1" applyBorder="1"/>
    <xf numFmtId="0" fontId="0" fillId="0" borderId="23" xfId="0" applyBorder="1" applyAlignment="1">
      <alignment horizontal="center"/>
    </xf>
    <xf numFmtId="4" fontId="0" fillId="0" borderId="1" xfId="3" applyNumberFormat="1" applyFont="1" applyBorder="1" applyAlignment="1">
      <alignment horizontal="right"/>
    </xf>
    <xf numFmtId="0" fontId="0" fillId="0" borderId="20" xfId="0" applyBorder="1"/>
    <xf numFmtId="4" fontId="0" fillId="0" borderId="1" xfId="0" applyNumberFormat="1" applyBorder="1"/>
    <xf numFmtId="0" fontId="0" fillId="0" borderId="8" xfId="0" applyBorder="1" applyAlignment="1">
      <alignment horizontal="center" vertical="center"/>
    </xf>
    <xf numFmtId="1" fontId="0" fillId="0" borderId="8" xfId="0" applyNumberFormat="1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2" fontId="0" fillId="0" borderId="10" xfId="0" applyNumberFormat="1" applyBorder="1"/>
    <xf numFmtId="2" fontId="0" fillId="0" borderId="20" xfId="0" applyNumberFormat="1" applyBorder="1"/>
    <xf numFmtId="2" fontId="54" fillId="0" borderId="1" xfId="0" applyNumberFormat="1" applyFont="1" applyBorder="1"/>
    <xf numFmtId="2" fontId="54" fillId="0" borderId="20" xfId="0" applyNumberFormat="1" applyFont="1" applyBorder="1"/>
    <xf numFmtId="4" fontId="54" fillId="0" borderId="36" xfId="0" applyNumberFormat="1" applyFont="1" applyBorder="1"/>
    <xf numFmtId="2" fontId="54" fillId="0" borderId="37" xfId="0" applyNumberFormat="1" applyFont="1" applyBorder="1"/>
    <xf numFmtId="2" fontId="54" fillId="0" borderId="31" xfId="0" applyNumberFormat="1" applyFont="1" applyBorder="1"/>
    <xf numFmtId="173" fontId="0" fillId="0" borderId="0" xfId="3" applyNumberFormat="1" applyFont="1" applyAlignment="1">
      <alignment vertic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2" xfId="0" applyBorder="1" applyAlignment="1">
      <alignment horizontal="center"/>
    </xf>
    <xf numFmtId="20" fontId="7" fillId="0" borderId="22" xfId="58" applyNumberFormat="1" applyFont="1" applyBorder="1"/>
    <xf numFmtId="20" fontId="7" fillId="0" borderId="36" xfId="58" applyNumberFormat="1" applyFont="1" applyBorder="1"/>
    <xf numFmtId="0" fontId="7" fillId="0" borderId="22" xfId="58" applyFont="1" applyBorder="1"/>
    <xf numFmtId="0" fontId="7" fillId="0" borderId="36" xfId="58" applyFont="1" applyBorder="1"/>
    <xf numFmtId="4" fontId="0" fillId="0" borderId="0" xfId="3" applyNumberFormat="1" applyFont="1" applyBorder="1" applyAlignment="1">
      <alignment horizontal="right"/>
    </xf>
    <xf numFmtId="1" fontId="30" fillId="0" borderId="1" xfId="0" applyNumberFormat="1" applyFont="1" applyBorder="1" applyAlignment="1">
      <alignment vertical="center"/>
    </xf>
    <xf numFmtId="0" fontId="9" fillId="0" borderId="60" xfId="58" applyBorder="1" applyAlignment="1">
      <alignment horizontal="center"/>
    </xf>
    <xf numFmtId="10" fontId="0" fillId="0" borderId="0" xfId="2" applyNumberFormat="1" applyFont="1" applyFill="1"/>
    <xf numFmtId="2" fontId="25" fillId="0" borderId="23" xfId="0" applyNumberFormat="1" applyFont="1" applyBorder="1" applyAlignment="1">
      <alignment horizontal="center"/>
    </xf>
    <xf numFmtId="1" fontId="30" fillId="0" borderId="1" xfId="0" applyNumberFormat="1" applyFont="1" applyBorder="1" applyAlignment="1">
      <alignment horizontal="right" vertical="center"/>
    </xf>
    <xf numFmtId="0" fontId="54" fillId="0" borderId="0" xfId="0" applyFont="1"/>
    <xf numFmtId="2" fontId="30" fillId="0" borderId="1" xfId="0" applyNumberFormat="1" applyFont="1" applyBorder="1" applyAlignment="1">
      <alignment horizontal="center" vertical="center"/>
    </xf>
    <xf numFmtId="176" fontId="46" fillId="0" borderId="20" xfId="3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left"/>
    </xf>
    <xf numFmtId="4" fontId="54" fillId="0" borderId="17" xfId="3" applyNumberFormat="1" applyFont="1" applyBorder="1" applyAlignment="1">
      <alignment horizontal="right"/>
    </xf>
    <xf numFmtId="0" fontId="54" fillId="0" borderId="18" xfId="0" applyFont="1" applyBorder="1" applyAlignment="1">
      <alignment horizontal="left"/>
    </xf>
    <xf numFmtId="0" fontId="27" fillId="0" borderId="0" xfId="0" applyFont="1" applyAlignment="1">
      <alignment horizontal="right"/>
    </xf>
    <xf numFmtId="4" fontId="54" fillId="0" borderId="0" xfId="3" applyNumberFormat="1" applyFont="1" applyBorder="1" applyAlignment="1">
      <alignment horizontal="right"/>
    </xf>
    <xf numFmtId="4" fontId="54" fillId="0" borderId="36" xfId="3" applyNumberFormat="1" applyFont="1" applyBorder="1"/>
    <xf numFmtId="0" fontId="54" fillId="0" borderId="37" xfId="0" applyFont="1" applyBorder="1" applyAlignment="1">
      <alignment horizontal="left"/>
    </xf>
    <xf numFmtId="0" fontId="5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4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0" fontId="54" fillId="0" borderId="12" xfId="0" applyFont="1" applyBorder="1" applyAlignment="1">
      <alignment horizontal="center"/>
    </xf>
    <xf numFmtId="0" fontId="54" fillId="0" borderId="36" xfId="0" applyFont="1" applyBorder="1"/>
    <xf numFmtId="0" fontId="54" fillId="0" borderId="37" xfId="0" applyFont="1" applyBorder="1"/>
    <xf numFmtId="20" fontId="23" fillId="0" borderId="0" xfId="25" applyNumberFormat="1"/>
    <xf numFmtId="165" fontId="23" fillId="0" borderId="0" xfId="3" applyFont="1"/>
    <xf numFmtId="0" fontId="28" fillId="0" borderId="0" xfId="9" applyFont="1" applyAlignment="1">
      <alignment vertical="center"/>
    </xf>
    <xf numFmtId="4" fontId="28" fillId="0" borderId="0" xfId="9" applyNumberFormat="1" applyFont="1" applyAlignment="1">
      <alignment vertical="center"/>
    </xf>
    <xf numFmtId="4" fontId="51" fillId="0" borderId="0" xfId="9" applyNumberFormat="1" applyFont="1" applyAlignment="1">
      <alignment vertical="center"/>
    </xf>
    <xf numFmtId="0" fontId="39" fillId="0" borderId="0" xfId="9" applyFont="1" applyAlignment="1">
      <alignment vertical="center"/>
    </xf>
    <xf numFmtId="165" fontId="27" fillId="0" borderId="9" xfId="9" applyNumberFormat="1" applyFont="1" applyBorder="1" applyAlignment="1">
      <alignment vertical="center"/>
    </xf>
    <xf numFmtId="165" fontId="25" fillId="0" borderId="9" xfId="9" applyNumberFormat="1" applyBorder="1" applyAlignment="1">
      <alignment vertical="center"/>
    </xf>
    <xf numFmtId="168" fontId="25" fillId="0" borderId="1" xfId="9" applyNumberFormat="1" applyBorder="1" applyAlignment="1">
      <alignment vertical="center"/>
    </xf>
    <xf numFmtId="168" fontId="25" fillId="0" borderId="3" xfId="9" applyNumberFormat="1" applyBorder="1" applyAlignment="1">
      <alignment vertical="center"/>
    </xf>
    <xf numFmtId="168" fontId="27" fillId="0" borderId="3" xfId="9" applyNumberFormat="1" applyFont="1" applyBorder="1" applyAlignment="1">
      <alignment vertical="center"/>
    </xf>
    <xf numFmtId="165" fontId="27" fillId="0" borderId="63" xfId="3" applyFont="1" applyBorder="1" applyAlignment="1">
      <alignment horizontal="right" vertical="center"/>
    </xf>
    <xf numFmtId="1" fontId="25" fillId="0" borderId="12" xfId="3" applyNumberFormat="1" applyFont="1" applyBorder="1" applyAlignment="1">
      <alignment horizontal="center" vertical="center"/>
    </xf>
    <xf numFmtId="1" fontId="25" fillId="0" borderId="1" xfId="3" applyNumberFormat="1" applyFont="1" applyBorder="1" applyAlignment="1">
      <alignment horizontal="center" vertical="center"/>
    </xf>
    <xf numFmtId="1" fontId="27" fillId="0" borderId="37" xfId="3" applyNumberFormat="1" applyFont="1" applyBorder="1" applyAlignment="1">
      <alignment horizontal="center" vertical="center"/>
    </xf>
    <xf numFmtId="165" fontId="25" fillId="0" borderId="0" xfId="3" applyFont="1" applyBorder="1" applyAlignment="1">
      <alignment vertical="center"/>
    </xf>
    <xf numFmtId="166" fontId="25" fillId="0" borderId="0" xfId="3" applyNumberFormat="1" applyFont="1" applyBorder="1" applyAlignment="1">
      <alignment horizontal="center" vertical="center"/>
    </xf>
    <xf numFmtId="172" fontId="25" fillId="0" borderId="0" xfId="9" applyNumberFormat="1" applyAlignment="1">
      <alignment vertical="center"/>
    </xf>
    <xf numFmtId="165" fontId="25" fillId="0" borderId="1" xfId="3" applyFont="1" applyFill="1" applyBorder="1" applyAlignment="1">
      <alignment horizontal="center" vertical="center"/>
    </xf>
    <xf numFmtId="0" fontId="27" fillId="0" borderId="3" xfId="9" applyFont="1" applyBorder="1" applyAlignment="1">
      <alignment vertical="center"/>
    </xf>
    <xf numFmtId="0" fontId="27" fillId="0" borderId="0" xfId="9" applyFont="1" applyAlignment="1">
      <alignment horizontal="center" vertical="center"/>
    </xf>
    <xf numFmtId="1" fontId="25" fillId="3" borderId="1" xfId="9" applyNumberFormat="1" applyFill="1" applyBorder="1" applyAlignment="1">
      <alignment horizontal="center" vertical="center"/>
    </xf>
    <xf numFmtId="165" fontId="25" fillId="0" borderId="1" xfId="3" applyFont="1" applyBorder="1" applyAlignment="1">
      <alignment vertical="center"/>
    </xf>
    <xf numFmtId="1" fontId="25" fillId="0" borderId="2" xfId="9" applyNumberFormat="1" applyBorder="1" applyAlignment="1">
      <alignment horizontal="center" vertical="center"/>
    </xf>
    <xf numFmtId="165" fontId="25" fillId="3" borderId="0" xfId="3" applyFont="1" applyFill="1" applyAlignment="1">
      <alignment vertical="center"/>
    </xf>
    <xf numFmtId="0" fontId="25" fillId="3" borderId="1" xfId="9" applyFill="1" applyBorder="1" applyAlignment="1">
      <alignment horizontal="center" vertical="center"/>
    </xf>
    <xf numFmtId="43" fontId="25" fillId="0" borderId="0" xfId="9" applyNumberFormat="1" applyAlignment="1">
      <alignment vertical="center"/>
    </xf>
    <xf numFmtId="0" fontId="25" fillId="0" borderId="0" xfId="9" applyAlignment="1">
      <alignment horizontal="right" vertical="center"/>
    </xf>
    <xf numFmtId="165" fontId="25" fillId="0" borderId="0" xfId="9" applyNumberFormat="1" applyAlignment="1">
      <alignment vertical="center"/>
    </xf>
    <xf numFmtId="0" fontId="25" fillId="3" borderId="0" xfId="9" applyFill="1" applyAlignment="1">
      <alignment vertical="center"/>
    </xf>
    <xf numFmtId="166" fontId="25" fillId="0" borderId="1" xfId="3" applyNumberFormat="1" applyFont="1" applyBorder="1" applyAlignment="1">
      <alignment vertical="center"/>
    </xf>
    <xf numFmtId="166" fontId="25" fillId="0" borderId="1" xfId="3" applyNumberFormat="1" applyFont="1" applyFill="1" applyBorder="1" applyAlignment="1">
      <alignment vertical="center"/>
    </xf>
    <xf numFmtId="173" fontId="25" fillId="0" borderId="0" xfId="3" applyNumberFormat="1" applyFont="1" applyBorder="1" applyAlignment="1">
      <alignment vertical="center"/>
    </xf>
    <xf numFmtId="0" fontId="26" fillId="0" borderId="56" xfId="9" applyFont="1" applyBorder="1" applyAlignment="1">
      <alignment vertical="center"/>
    </xf>
    <xf numFmtId="44" fontId="25" fillId="0" borderId="0" xfId="9" applyNumberFormat="1" applyAlignment="1">
      <alignment vertical="center"/>
    </xf>
    <xf numFmtId="0" fontId="37" fillId="2" borderId="17" xfId="9" applyFont="1" applyFill="1" applyBorder="1" applyAlignment="1">
      <alignment horizontal="center" vertical="center" wrapText="1"/>
    </xf>
    <xf numFmtId="13" fontId="25" fillId="3" borderId="1" xfId="9" applyNumberFormat="1" applyFill="1" applyBorder="1" applyAlignment="1">
      <alignment vertical="center"/>
    </xf>
    <xf numFmtId="13" fontId="25" fillId="3" borderId="1" xfId="9" applyNumberFormat="1" applyFill="1" applyBorder="1" applyAlignment="1">
      <alignment horizontal="center" vertical="center"/>
    </xf>
    <xf numFmtId="1" fontId="27" fillId="0" borderId="1" xfId="9" applyNumberFormat="1" applyFont="1" applyBorder="1" applyAlignment="1">
      <alignment horizontal="center" vertical="center"/>
    </xf>
    <xf numFmtId="44" fontId="27" fillId="0" borderId="1" xfId="6" applyFont="1" applyBorder="1" applyAlignment="1">
      <alignment horizontal="center" vertical="center"/>
    </xf>
    <xf numFmtId="44" fontId="57" fillId="12" borderId="4" xfId="6" applyFont="1" applyFill="1" applyBorder="1" applyAlignment="1">
      <alignment horizontal="center" vertical="center"/>
    </xf>
    <xf numFmtId="166" fontId="25" fillId="3" borderId="1" xfId="3" applyNumberFormat="1" applyFont="1" applyFill="1" applyBorder="1" applyAlignment="1">
      <alignment horizontal="center" vertical="center"/>
    </xf>
    <xf numFmtId="0" fontId="50" fillId="0" borderId="0" xfId="9" applyFont="1" applyAlignment="1">
      <alignment vertical="center"/>
    </xf>
    <xf numFmtId="165" fontId="50" fillId="0" borderId="0" xfId="3" applyFont="1" applyAlignment="1">
      <alignment vertical="center"/>
    </xf>
    <xf numFmtId="0" fontId="57" fillId="12" borderId="5" xfId="9" applyFont="1" applyFill="1" applyBorder="1" applyAlignment="1">
      <alignment vertical="center"/>
    </xf>
    <xf numFmtId="0" fontId="57" fillId="12" borderId="6" xfId="9" applyFont="1" applyFill="1" applyBorder="1" applyAlignment="1">
      <alignment vertical="center"/>
    </xf>
    <xf numFmtId="165" fontId="57" fillId="12" borderId="6" xfId="3" applyFont="1" applyFill="1" applyBorder="1" applyAlignment="1">
      <alignment vertical="center"/>
    </xf>
    <xf numFmtId="165" fontId="57" fillId="12" borderId="7" xfId="3" applyFont="1" applyFill="1" applyBorder="1" applyAlignment="1">
      <alignment vertical="center"/>
    </xf>
    <xf numFmtId="44" fontId="57" fillId="12" borderId="4" xfId="6" applyFont="1" applyFill="1" applyBorder="1" applyAlignment="1">
      <alignment vertical="center"/>
    </xf>
    <xf numFmtId="0" fontId="58" fillId="0" borderId="0" xfId="9" applyFont="1" applyAlignment="1">
      <alignment vertical="center"/>
    </xf>
    <xf numFmtId="165" fontId="58" fillId="0" borderId="0" xfId="3" applyFont="1" applyAlignment="1">
      <alignment vertical="center"/>
    </xf>
    <xf numFmtId="4" fontId="25" fillId="0" borderId="9" xfId="9" applyNumberFormat="1" applyBorder="1" applyAlignment="1">
      <alignment horizontal="centerContinuous" vertical="center"/>
    </xf>
    <xf numFmtId="10" fontId="25" fillId="0" borderId="15" xfId="2" applyNumberFormat="1" applyFont="1" applyBorder="1" applyAlignment="1">
      <alignment vertical="center"/>
    </xf>
    <xf numFmtId="165" fontId="25" fillId="0" borderId="14" xfId="3" applyFont="1" applyBorder="1" applyAlignment="1">
      <alignment vertical="center"/>
    </xf>
    <xf numFmtId="165" fontId="25" fillId="0" borderId="9" xfId="3" applyFont="1" applyBorder="1" applyAlignment="1">
      <alignment vertical="center"/>
    </xf>
    <xf numFmtId="0" fontId="25" fillId="0" borderId="9" xfId="9" applyBorder="1" applyAlignment="1">
      <alignment vertical="center"/>
    </xf>
    <xf numFmtId="1" fontId="25" fillId="0" borderId="20" xfId="3" applyNumberFormat="1" applyFont="1" applyBorder="1" applyAlignment="1">
      <alignment horizontal="center" vertical="center"/>
    </xf>
    <xf numFmtId="4" fontId="27" fillId="0" borderId="29" xfId="9" applyNumberFormat="1" applyFont="1" applyBorder="1" applyAlignment="1">
      <alignment vertical="center"/>
    </xf>
    <xf numFmtId="0" fontId="25" fillId="0" borderId="29" xfId="9" applyBorder="1" applyAlignment="1">
      <alignment vertical="center"/>
    </xf>
    <xf numFmtId="4" fontId="27" fillId="0" borderId="0" xfId="9" applyNumberFormat="1" applyFont="1" applyAlignment="1">
      <alignment vertical="center"/>
    </xf>
    <xf numFmtId="165" fontId="25" fillId="0" borderId="39" xfId="3" applyFont="1" applyBorder="1" applyAlignment="1">
      <alignment vertical="center"/>
    </xf>
    <xf numFmtId="165" fontId="25" fillId="0" borderId="40" xfId="3" applyFont="1" applyBorder="1" applyAlignment="1">
      <alignment vertical="center"/>
    </xf>
    <xf numFmtId="165" fontId="25" fillId="0" borderId="41" xfId="3" applyFont="1" applyBorder="1" applyAlignment="1">
      <alignment vertical="center"/>
    </xf>
    <xf numFmtId="0" fontId="25" fillId="0" borderId="41" xfId="9" applyBorder="1" applyAlignment="1">
      <alignment vertical="center"/>
    </xf>
    <xf numFmtId="1" fontId="25" fillId="0" borderId="37" xfId="3" applyNumberFormat="1" applyFont="1" applyBorder="1" applyAlignment="1">
      <alignment horizontal="center" vertical="center"/>
    </xf>
    <xf numFmtId="1" fontId="25" fillId="0" borderId="0" xfId="3" applyNumberFormat="1" applyFont="1" applyBorder="1" applyAlignment="1">
      <alignment horizontal="center" vertical="center"/>
    </xf>
    <xf numFmtId="167" fontId="27" fillId="0" borderId="0" xfId="3" applyNumberFormat="1" applyFont="1" applyBorder="1" applyAlignment="1">
      <alignment horizontal="center" vertical="center"/>
    </xf>
    <xf numFmtId="2" fontId="25" fillId="3" borderId="1" xfId="9" applyNumberFormat="1" applyFill="1" applyBorder="1" applyAlignment="1">
      <alignment horizontal="center" vertical="center"/>
    </xf>
    <xf numFmtId="0" fontId="26" fillId="0" borderId="0" xfId="9" applyFont="1" applyAlignment="1">
      <alignment vertical="center"/>
    </xf>
    <xf numFmtId="0" fontId="27" fillId="0" borderId="1" xfId="9" applyFont="1" applyBorder="1" applyAlignment="1">
      <alignment vertical="center"/>
    </xf>
    <xf numFmtId="0" fontId="27" fillId="0" borderId="9" xfId="9" applyFont="1" applyBorder="1" applyAlignment="1">
      <alignment horizontal="center" vertical="center"/>
    </xf>
    <xf numFmtId="1" fontId="25" fillId="0" borderId="1" xfId="9" applyNumberFormat="1" applyBorder="1" applyAlignment="1">
      <alignment horizontal="center" vertical="center"/>
    </xf>
    <xf numFmtId="165" fontId="25" fillId="0" borderId="0" xfId="3" applyFont="1" applyAlignment="1">
      <alignment horizontal="center" vertical="center"/>
    </xf>
    <xf numFmtId="0" fontId="27" fillId="0" borderId="54" xfId="9" applyFont="1" applyBorder="1" applyAlignment="1">
      <alignment vertical="center"/>
    </xf>
    <xf numFmtId="0" fontId="27" fillId="0" borderId="54" xfId="9" applyFont="1" applyBorder="1" applyAlignment="1">
      <alignment horizontal="center" vertical="center"/>
    </xf>
    <xf numFmtId="165" fontId="25" fillId="6" borderId="1" xfId="3" applyFont="1" applyFill="1" applyBorder="1" applyAlignment="1">
      <alignment vertical="center"/>
    </xf>
    <xf numFmtId="0" fontId="27" fillId="0" borderId="1" xfId="9" applyFont="1" applyBorder="1" applyAlignment="1">
      <alignment horizontal="center" vertical="center"/>
    </xf>
    <xf numFmtId="0" fontId="26" fillId="0" borderId="0" xfId="9" applyFont="1" applyAlignment="1">
      <alignment horizontal="left" vertical="center" wrapText="1"/>
    </xf>
    <xf numFmtId="0" fontId="37" fillId="2" borderId="32" xfId="9" applyFont="1" applyFill="1" applyBorder="1" applyAlignment="1">
      <alignment horizontal="center" vertical="center"/>
    </xf>
    <xf numFmtId="0" fontId="37" fillId="2" borderId="33" xfId="9" applyFont="1" applyFill="1" applyBorder="1" applyAlignment="1">
      <alignment horizontal="center" vertical="center"/>
    </xf>
    <xf numFmtId="165" fontId="25" fillId="0" borderId="1" xfId="9" applyNumberFormat="1" applyBorder="1" applyAlignment="1">
      <alignment horizontal="center" vertical="center"/>
    </xf>
    <xf numFmtId="2" fontId="25" fillId="0" borderId="1" xfId="9" applyNumberFormat="1" applyBorder="1" applyAlignment="1">
      <alignment horizontal="center" vertical="center"/>
    </xf>
    <xf numFmtId="0" fontId="25" fillId="0" borderId="0" xfId="9" applyAlignment="1">
      <alignment horizontal="center" vertical="center"/>
    </xf>
    <xf numFmtId="3" fontId="25" fillId="0" borderId="0" xfId="9" applyNumberFormat="1" applyAlignment="1">
      <alignment vertical="center"/>
    </xf>
    <xf numFmtId="3" fontId="25" fillId="3" borderId="1" xfId="9" applyNumberFormat="1" applyFill="1" applyBorder="1" applyAlignment="1">
      <alignment vertical="center"/>
    </xf>
    <xf numFmtId="4" fontId="25" fillId="3" borderId="2" xfId="9" applyNumberFormat="1" applyFill="1" applyBorder="1" applyAlignment="1">
      <alignment horizontal="center" vertical="center"/>
    </xf>
    <xf numFmtId="167" fontId="25" fillId="0" borderId="2" xfId="3" applyNumberFormat="1" applyFont="1" applyBorder="1" applyAlignment="1">
      <alignment horizontal="center" vertical="center"/>
    </xf>
    <xf numFmtId="4" fontId="25" fillId="3" borderId="1" xfId="9" applyNumberFormat="1" applyFill="1" applyBorder="1" applyAlignment="1">
      <alignment horizontal="center" vertical="center"/>
    </xf>
    <xf numFmtId="0" fontId="25" fillId="3" borderId="2" xfId="9" applyFill="1" applyBorder="1" applyAlignment="1">
      <alignment horizontal="center" vertical="center"/>
    </xf>
    <xf numFmtId="165" fontId="25" fillId="0" borderId="2" xfId="3" applyFont="1" applyFill="1" applyBorder="1" applyAlignment="1">
      <alignment horizontal="center" vertical="center"/>
    </xf>
    <xf numFmtId="3" fontId="25" fillId="3" borderId="1" xfId="9" applyNumberFormat="1" applyFill="1" applyBorder="1" applyAlignment="1">
      <alignment horizontal="center" vertical="center"/>
    </xf>
    <xf numFmtId="166" fontId="25" fillId="0" borderId="0" xfId="9" applyNumberFormat="1" applyAlignment="1">
      <alignment vertical="center"/>
    </xf>
    <xf numFmtId="0" fontId="34" fillId="0" borderId="1" xfId="9" applyFont="1" applyBorder="1" applyAlignment="1">
      <alignment horizontal="center" vertical="center"/>
    </xf>
    <xf numFmtId="0" fontId="35" fillId="0" borderId="0" xfId="9" applyFont="1" applyAlignment="1">
      <alignment vertical="center"/>
    </xf>
    <xf numFmtId="43" fontId="28" fillId="0" borderId="0" xfId="9" applyNumberFormat="1" applyFont="1" applyAlignment="1">
      <alignment vertical="center"/>
    </xf>
    <xf numFmtId="165" fontId="28" fillId="0" borderId="0" xfId="3" applyFont="1" applyFill="1" applyBorder="1" applyAlignment="1">
      <alignment vertical="center"/>
    </xf>
    <xf numFmtId="3" fontId="11" fillId="0" borderId="1" xfId="51" applyNumberFormat="1" applyBorder="1"/>
    <xf numFmtId="0" fontId="60" fillId="0" borderId="1" xfId="51" applyFont="1" applyBorder="1"/>
    <xf numFmtId="0" fontId="55" fillId="0" borderId="1" xfId="51" applyFont="1" applyBorder="1"/>
    <xf numFmtId="165" fontId="55" fillId="0" borderId="1" xfId="3" applyFont="1" applyBorder="1"/>
    <xf numFmtId="0" fontId="60" fillId="0" borderId="0" xfId="51" applyFont="1"/>
    <xf numFmtId="3" fontId="60" fillId="0" borderId="0" xfId="51" applyNumberFormat="1" applyFont="1"/>
    <xf numFmtId="0" fontId="61" fillId="0" borderId="1" xfId="51" applyFont="1" applyBorder="1"/>
    <xf numFmtId="3" fontId="61" fillId="0" borderId="1" xfId="51" applyNumberFormat="1" applyFont="1" applyBorder="1"/>
    <xf numFmtId="165" fontId="62" fillId="0" borderId="1" xfId="3" applyFont="1" applyBorder="1"/>
    <xf numFmtId="43" fontId="62" fillId="0" borderId="1" xfId="51" applyNumberFormat="1" applyFont="1" applyBorder="1"/>
    <xf numFmtId="0" fontId="54" fillId="0" borderId="1" xfId="51" applyFont="1" applyBorder="1"/>
    <xf numFmtId="0" fontId="63" fillId="11" borderId="1" xfId="0" applyFont="1" applyFill="1" applyBorder="1" applyAlignment="1">
      <alignment horizontal="center" vertical="center" wrapText="1"/>
    </xf>
    <xf numFmtId="17" fontId="63" fillId="0" borderId="1" xfId="0" applyNumberFormat="1" applyFont="1" applyBorder="1" applyAlignment="1">
      <alignment horizontal="center" vertical="center" wrapText="1"/>
    </xf>
    <xf numFmtId="165" fontId="63" fillId="0" borderId="1" xfId="3" applyFont="1" applyBorder="1" applyAlignment="1">
      <alignment horizontal="center" vertical="center" wrapText="1"/>
    </xf>
    <xf numFmtId="17" fontId="63" fillId="0" borderId="1" xfId="0" applyNumberFormat="1" applyFont="1" applyBorder="1" applyAlignment="1">
      <alignment vertical="center" wrapText="1"/>
    </xf>
    <xf numFmtId="0" fontId="64" fillId="0" borderId="1" xfId="51" applyFont="1" applyBorder="1"/>
    <xf numFmtId="43" fontId="23" fillId="0" borderId="0" xfId="25" applyNumberFormat="1"/>
    <xf numFmtId="4" fontId="25" fillId="0" borderId="60" xfId="3" applyNumberFormat="1" applyFont="1" applyBorder="1" applyAlignment="1">
      <alignment horizontal="right"/>
    </xf>
    <xf numFmtId="0" fontId="25" fillId="0" borderId="63" xfId="0" applyFont="1" applyBorder="1" applyAlignment="1">
      <alignment horizontal="left"/>
    </xf>
    <xf numFmtId="0" fontId="25" fillId="0" borderId="23" xfId="0" applyFont="1" applyBorder="1" applyAlignment="1">
      <alignment horizontal="center"/>
    </xf>
    <xf numFmtId="4" fontId="54" fillId="0" borderId="58" xfId="0" applyNumberFormat="1" applyFont="1" applyBorder="1"/>
    <xf numFmtId="176" fontId="23" fillId="0" borderId="0" xfId="25" applyNumberFormat="1"/>
    <xf numFmtId="43" fontId="0" fillId="0" borderId="1" xfId="0" applyNumberFormat="1" applyBorder="1"/>
    <xf numFmtId="43" fontId="0" fillId="0" borderId="0" xfId="0" applyNumberFormat="1"/>
    <xf numFmtId="43" fontId="11" fillId="0" borderId="0" xfId="51" applyNumberFormat="1"/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right" vertical="center"/>
    </xf>
    <xf numFmtId="2" fontId="0" fillId="0" borderId="1" xfId="0" applyNumberFormat="1" applyBorder="1"/>
    <xf numFmtId="2" fontId="0" fillId="0" borderId="9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2" fontId="0" fillId="0" borderId="23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54" fillId="0" borderId="2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68"/>
    <xf numFmtId="0" fontId="1" fillId="0" borderId="0" xfId="68" applyAlignment="1">
      <alignment horizontal="center"/>
    </xf>
    <xf numFmtId="0" fontId="1" fillId="0" borderId="0" xfId="68" applyFont="1"/>
    <xf numFmtId="2" fontId="1" fillId="0" borderId="17" xfId="68" applyNumberFormat="1" applyFont="1" applyBorder="1" applyAlignment="1">
      <alignment vertical="center"/>
    </xf>
    <xf numFmtId="2" fontId="1" fillId="0" borderId="18" xfId="68" applyNumberFormat="1" applyFont="1" applyBorder="1" applyAlignment="1">
      <alignment vertical="center"/>
    </xf>
    <xf numFmtId="4" fontId="54" fillId="0" borderId="36" xfId="68" applyNumberFormat="1" applyFont="1" applyBorder="1"/>
    <xf numFmtId="2" fontId="54" fillId="0" borderId="37" xfId="68" applyNumberFormat="1" applyFont="1" applyBorder="1"/>
    <xf numFmtId="0" fontId="56" fillId="0" borderId="0" xfId="68" applyFont="1"/>
    <xf numFmtId="2" fontId="54" fillId="0" borderId="0" xfId="68" applyNumberFormat="1" applyFont="1" applyAlignment="1">
      <alignment horizontal="right" vertical="center" wrapText="1"/>
    </xf>
    <xf numFmtId="4" fontId="54" fillId="0" borderId="0" xfId="68" applyNumberFormat="1" applyFont="1"/>
    <xf numFmtId="2" fontId="54" fillId="0" borderId="0" xfId="68" applyNumberFormat="1" applyFont="1"/>
    <xf numFmtId="0" fontId="54" fillId="0" borderId="0" xfId="69" applyFont="1" applyAlignment="1">
      <alignment horizontal="center" vertical="center" wrapText="1"/>
    </xf>
    <xf numFmtId="2" fontId="1" fillId="0" borderId="0" xfId="68" applyNumberFormat="1"/>
    <xf numFmtId="4" fontId="1" fillId="0" borderId="0" xfId="68" applyNumberFormat="1"/>
    <xf numFmtId="0" fontId="54" fillId="0" borderId="0" xfId="69" applyFont="1" applyAlignment="1">
      <alignment horizontal="center" wrapText="1"/>
    </xf>
    <xf numFmtId="0" fontId="1" fillId="0" borderId="0" xfId="69" applyAlignment="1">
      <alignment horizontal="center"/>
    </xf>
    <xf numFmtId="0" fontId="1" fillId="0" borderId="0" xfId="69" applyAlignment="1">
      <alignment horizontal="center" vertical="center" wrapText="1"/>
    </xf>
    <xf numFmtId="2" fontId="1" fillId="0" borderId="0" xfId="69" applyNumberFormat="1" applyAlignment="1">
      <alignment horizontal="left"/>
    </xf>
    <xf numFmtId="2" fontId="54" fillId="0" borderId="0" xfId="69" applyNumberFormat="1" applyFont="1" applyAlignment="1">
      <alignment horizontal="left"/>
    </xf>
    <xf numFmtId="0" fontId="27" fillId="0" borderId="32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165" fontId="27" fillId="0" borderId="14" xfId="3" applyFont="1" applyBorder="1" applyAlignment="1">
      <alignment horizontal="left" vertical="center"/>
    </xf>
    <xf numFmtId="165" fontId="27" fillId="0" borderId="9" xfId="3" applyFont="1" applyBorder="1" applyAlignment="1">
      <alignment horizontal="left" vertical="center"/>
    </xf>
    <xf numFmtId="0" fontId="39" fillId="8" borderId="25" xfId="0" applyFont="1" applyFill="1" applyBorder="1" applyAlignment="1">
      <alignment horizontal="center" vertical="center"/>
    </xf>
    <xf numFmtId="0" fontId="39" fillId="8" borderId="26" xfId="0" applyFont="1" applyFill="1" applyBorder="1" applyAlignment="1">
      <alignment horizontal="center" vertical="center"/>
    </xf>
    <xf numFmtId="0" fontId="39" fillId="8" borderId="27" xfId="0" applyFont="1" applyFill="1" applyBorder="1" applyAlignment="1">
      <alignment horizontal="center" vertical="center"/>
    </xf>
    <xf numFmtId="0" fontId="31" fillId="8" borderId="44" xfId="0" applyFont="1" applyFill="1" applyBorder="1" applyAlignment="1">
      <alignment horizontal="center" vertical="center"/>
    </xf>
    <xf numFmtId="0" fontId="31" fillId="8" borderId="42" xfId="0" applyFont="1" applyFill="1" applyBorder="1" applyAlignment="1">
      <alignment horizontal="center" vertical="center"/>
    </xf>
    <xf numFmtId="0" fontId="31" fillId="8" borderId="45" xfId="0" applyFont="1" applyFill="1" applyBorder="1" applyAlignment="1">
      <alignment horizontal="center" vertical="center"/>
    </xf>
    <xf numFmtId="165" fontId="27" fillId="0" borderId="5" xfId="3" applyFont="1" applyBorder="1" applyAlignment="1">
      <alignment horizontal="center" vertical="center"/>
    </xf>
    <xf numFmtId="165" fontId="27" fillId="0" borderId="6" xfId="3" applyFont="1" applyBorder="1" applyAlignment="1">
      <alignment horizontal="center" vertical="center"/>
    </xf>
    <xf numFmtId="165" fontId="27" fillId="0" borderId="43" xfId="3" applyFont="1" applyBorder="1" applyAlignment="1">
      <alignment horizontal="center" vertical="center"/>
    </xf>
    <xf numFmtId="165" fontId="28" fillId="8" borderId="5" xfId="3" applyFont="1" applyFill="1" applyBorder="1" applyAlignment="1">
      <alignment horizontal="center" vertical="center"/>
    </xf>
    <xf numFmtId="165" fontId="28" fillId="8" borderId="6" xfId="3" applyFont="1" applyFill="1" applyBorder="1" applyAlignment="1">
      <alignment horizontal="center" vertical="center"/>
    </xf>
    <xf numFmtId="165" fontId="28" fillId="8" borderId="7" xfId="3" applyFont="1" applyFill="1" applyBorder="1" applyAlignment="1">
      <alignment horizontal="center" vertical="center"/>
    </xf>
    <xf numFmtId="0" fontId="57" fillId="12" borderId="5" xfId="9" applyFont="1" applyFill="1" applyBorder="1" applyAlignment="1">
      <alignment horizontal="left" vertical="center"/>
    </xf>
    <xf numFmtId="0" fontId="57" fillId="12" borderId="6" xfId="9" applyFont="1" applyFill="1" applyBorder="1" applyAlignment="1">
      <alignment horizontal="left" vertical="center"/>
    </xf>
    <xf numFmtId="0" fontId="57" fillId="12" borderId="7" xfId="9" applyFont="1" applyFill="1" applyBorder="1" applyAlignment="1">
      <alignment horizontal="left" vertical="center"/>
    </xf>
    <xf numFmtId="0" fontId="39" fillId="8" borderId="25" xfId="9" applyFont="1" applyFill="1" applyBorder="1" applyAlignment="1">
      <alignment horizontal="center" vertical="center"/>
    </xf>
    <xf numFmtId="0" fontId="39" fillId="8" borderId="26" xfId="9" applyFont="1" applyFill="1" applyBorder="1" applyAlignment="1">
      <alignment horizontal="center" vertical="center"/>
    </xf>
    <xf numFmtId="0" fontId="39" fillId="8" borderId="27" xfId="9" applyFont="1" applyFill="1" applyBorder="1" applyAlignment="1">
      <alignment horizontal="center" vertical="center"/>
    </xf>
    <xf numFmtId="0" fontId="31" fillId="8" borderId="44" xfId="9" applyFont="1" applyFill="1" applyBorder="1" applyAlignment="1">
      <alignment horizontal="center" vertical="center"/>
    </xf>
    <xf numFmtId="0" fontId="31" fillId="8" borderId="42" xfId="9" applyFont="1" applyFill="1" applyBorder="1" applyAlignment="1">
      <alignment horizontal="center" vertical="center"/>
    </xf>
    <xf numFmtId="0" fontId="31" fillId="8" borderId="45" xfId="9" applyFont="1" applyFill="1" applyBorder="1" applyAlignment="1">
      <alignment horizontal="center" vertical="center"/>
    </xf>
    <xf numFmtId="165" fontId="25" fillId="0" borderId="19" xfId="3" applyFont="1" applyBorder="1" applyAlignment="1">
      <alignment horizontal="left" vertical="center"/>
    </xf>
    <xf numFmtId="165" fontId="25" fillId="0" borderId="11" xfId="3" applyFont="1" applyBorder="1" applyAlignment="1">
      <alignment horizontal="left" vertical="center"/>
    </xf>
    <xf numFmtId="165" fontId="25" fillId="0" borderId="64" xfId="3" applyFont="1" applyBorder="1" applyAlignment="1">
      <alignment horizontal="left" vertical="center"/>
    </xf>
    <xf numFmtId="165" fontId="25" fillId="0" borderId="14" xfId="3" applyFont="1" applyBorder="1" applyAlignment="1">
      <alignment horizontal="left" vertical="center"/>
    </xf>
    <xf numFmtId="165" fontId="25" fillId="0" borderId="9" xfId="3" applyFont="1" applyBorder="1" applyAlignment="1">
      <alignment horizontal="left" vertical="center"/>
    </xf>
    <xf numFmtId="165" fontId="25" fillId="0" borderId="10" xfId="3" applyFont="1" applyBorder="1" applyAlignment="1">
      <alignment horizontal="left" vertical="center"/>
    </xf>
    <xf numFmtId="165" fontId="27" fillId="0" borderId="40" xfId="3" applyFont="1" applyBorder="1" applyAlignment="1">
      <alignment horizontal="left" vertical="center"/>
    </xf>
    <xf numFmtId="165" fontId="27" fillId="0" borderId="41" xfId="3" applyFont="1" applyBorder="1" applyAlignment="1">
      <alignment horizontal="left" vertical="center"/>
    </xf>
    <xf numFmtId="165" fontId="27" fillId="0" borderId="59" xfId="3" applyFont="1" applyBorder="1" applyAlignment="1">
      <alignment horizontal="left" vertical="center"/>
    </xf>
    <xf numFmtId="0" fontId="58" fillId="0" borderId="0" xfId="9" applyFont="1" applyAlignment="1">
      <alignment horizontal="center" vertical="center"/>
    </xf>
    <xf numFmtId="0" fontId="27" fillId="0" borderId="32" xfId="9" applyFont="1" applyBorder="1" applyAlignment="1">
      <alignment horizontal="center" vertical="center"/>
    </xf>
    <xf numFmtId="0" fontId="27" fillId="0" borderId="33" xfId="9" applyFont="1" applyBorder="1" applyAlignment="1">
      <alignment horizontal="center" vertical="center"/>
    </xf>
    <xf numFmtId="0" fontId="39" fillId="8" borderId="21" xfId="0" applyFont="1" applyFill="1" applyBorder="1" applyAlignment="1">
      <alignment horizontal="center" vertical="center"/>
    </xf>
    <xf numFmtId="0" fontId="39" fillId="8" borderId="22" xfId="0" applyFont="1" applyFill="1" applyBorder="1" applyAlignment="1">
      <alignment horizontal="center" vertical="center"/>
    </xf>
    <xf numFmtId="0" fontId="39" fillId="8" borderId="12" xfId="0" applyFont="1" applyFill="1" applyBorder="1" applyAlignment="1">
      <alignment horizontal="center" vertical="center"/>
    </xf>
    <xf numFmtId="0" fontId="39" fillId="10" borderId="19" xfId="0" applyFont="1" applyFill="1" applyBorder="1" applyAlignment="1">
      <alignment horizontal="center"/>
    </xf>
    <xf numFmtId="0" fontId="39" fillId="10" borderId="46" xfId="0" applyFont="1" applyFill="1" applyBorder="1" applyAlignment="1">
      <alignment horizontal="center"/>
    </xf>
    <xf numFmtId="0" fontId="30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29" fillId="0" borderId="1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9" fontId="31" fillId="0" borderId="21" xfId="2" applyFont="1" applyBorder="1" applyAlignment="1">
      <alignment horizontal="center"/>
    </xf>
    <xf numFmtId="9" fontId="31" fillId="0" borderId="22" xfId="2" applyFont="1" applyBorder="1" applyAlignment="1">
      <alignment horizontal="center"/>
    </xf>
    <xf numFmtId="9" fontId="31" fillId="0" borderId="12" xfId="2" applyFont="1" applyBorder="1" applyAlignment="1">
      <alignment horizontal="center"/>
    </xf>
    <xf numFmtId="0" fontId="28" fillId="10" borderId="25" xfId="0" applyFont="1" applyFill="1" applyBorder="1" applyAlignment="1">
      <alignment horizontal="center" vertical="center"/>
    </xf>
    <xf numFmtId="0" fontId="28" fillId="10" borderId="26" xfId="0" applyFont="1" applyFill="1" applyBorder="1" applyAlignment="1">
      <alignment horizontal="center" vertical="center"/>
    </xf>
    <xf numFmtId="0" fontId="28" fillId="10" borderId="27" xfId="0" applyFont="1" applyFill="1" applyBorder="1" applyAlignment="1">
      <alignment horizontal="center" vertical="center"/>
    </xf>
    <xf numFmtId="0" fontId="54" fillId="0" borderId="21" xfId="58" applyFont="1" applyBorder="1" applyAlignment="1">
      <alignment horizontal="center" vertical="center"/>
    </xf>
    <xf numFmtId="0" fontId="54" fillId="0" borderId="24" xfId="58" applyFont="1" applyBorder="1" applyAlignment="1">
      <alignment horizontal="center" vertical="center"/>
    </xf>
    <xf numFmtId="0" fontId="9" fillId="0" borderId="33" xfId="58" applyBorder="1" applyAlignment="1">
      <alignment horizontal="center" vertical="center"/>
    </xf>
    <xf numFmtId="0" fontId="9" fillId="0" borderId="58" xfId="58" applyBorder="1" applyAlignment="1">
      <alignment horizontal="center" vertical="center"/>
    </xf>
    <xf numFmtId="0" fontId="2" fillId="0" borderId="33" xfId="58" applyFont="1" applyBorder="1" applyAlignment="1">
      <alignment horizontal="center" vertical="center" wrapText="1"/>
    </xf>
    <xf numFmtId="0" fontId="9" fillId="0" borderId="58" xfId="58" applyBorder="1" applyAlignment="1">
      <alignment horizontal="center" vertical="center" wrapText="1"/>
    </xf>
    <xf numFmtId="0" fontId="54" fillId="0" borderId="21" xfId="58" applyFont="1" applyFill="1" applyBorder="1" applyAlignment="1">
      <alignment horizontal="center" vertical="center" wrapText="1"/>
    </xf>
    <xf numFmtId="0" fontId="54" fillId="0" borderId="24" xfId="58" applyFont="1" applyFill="1" applyBorder="1" applyAlignment="1">
      <alignment horizontal="center" vertical="center" wrapText="1"/>
    </xf>
    <xf numFmtId="0" fontId="7" fillId="0" borderId="33" xfId="58" applyFont="1" applyBorder="1" applyAlignment="1">
      <alignment horizontal="center" vertical="center" wrapText="1"/>
    </xf>
    <xf numFmtId="0" fontId="54" fillId="0" borderId="62" xfId="58" applyFont="1" applyBorder="1" applyAlignment="1">
      <alignment horizontal="center" vertical="center"/>
    </xf>
    <xf numFmtId="0" fontId="9" fillId="0" borderId="60" xfId="58" applyBorder="1" applyAlignment="1">
      <alignment horizontal="center" vertical="center"/>
    </xf>
    <xf numFmtId="0" fontId="2" fillId="0" borderId="33" xfId="58" applyFont="1" applyBorder="1" applyAlignment="1">
      <alignment horizontal="center" vertical="center"/>
    </xf>
    <xf numFmtId="0" fontId="4" fillId="0" borderId="60" xfId="58" applyFont="1" applyBorder="1" applyAlignment="1">
      <alignment horizontal="center" vertical="center"/>
    </xf>
    <xf numFmtId="2" fontId="0" fillId="0" borderId="38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39" xfId="0" applyNumberFormat="1" applyBorder="1" applyAlignment="1">
      <alignment horizontal="center"/>
    </xf>
    <xf numFmtId="0" fontId="54" fillId="0" borderId="23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54" fillId="0" borderId="57" xfId="0" applyFont="1" applyBorder="1" applyAlignment="1">
      <alignment horizontal="center" vertical="center" wrapText="1"/>
    </xf>
    <xf numFmtId="0" fontId="54" fillId="0" borderId="61" xfId="0" applyFont="1" applyBorder="1" applyAlignment="1">
      <alignment horizontal="center" vertical="center" wrapText="1"/>
    </xf>
    <xf numFmtId="0" fontId="54" fillId="0" borderId="58" xfId="0" applyFon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25" fillId="0" borderId="23" xfId="0" applyNumberFormat="1" applyFont="1" applyBorder="1" applyAlignment="1">
      <alignment horizontal="center" vertical="center"/>
    </xf>
    <xf numFmtId="2" fontId="25" fillId="0" borderId="24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/>
    </xf>
    <xf numFmtId="2" fontId="0" fillId="0" borderId="36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2" fontId="0" fillId="0" borderId="20" xfId="0" applyNumberForma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25" fillId="0" borderId="14" xfId="0" applyNumberFormat="1" applyFont="1" applyBorder="1" applyAlignment="1">
      <alignment horizontal="center"/>
    </xf>
    <xf numFmtId="2" fontId="25" fillId="0" borderId="9" xfId="0" applyNumberFormat="1" applyFont="1" applyBorder="1" applyAlignment="1">
      <alignment horizontal="center"/>
    </xf>
    <xf numFmtId="2" fontId="25" fillId="0" borderId="15" xfId="0" applyNumberFormat="1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40" xfId="0" applyFont="1" applyBorder="1" applyAlignment="1">
      <alignment horizontal="right"/>
    </xf>
    <xf numFmtId="0" fontId="27" fillId="0" borderId="41" xfId="0" applyFont="1" applyBorder="1" applyAlignment="1">
      <alignment horizontal="right"/>
    </xf>
    <xf numFmtId="0" fontId="27" fillId="0" borderId="59" xfId="0" applyFont="1" applyBorder="1" applyAlignment="1">
      <alignment horizontal="right"/>
    </xf>
    <xf numFmtId="0" fontId="25" fillId="0" borderId="14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54" fillId="0" borderId="19" xfId="0" applyFont="1" applyBorder="1" applyAlignment="1">
      <alignment horizontal="center"/>
    </xf>
    <xf numFmtId="0" fontId="54" fillId="0" borderId="11" xfId="0" applyFont="1" applyBorder="1" applyAlignment="1">
      <alignment horizontal="center"/>
    </xf>
    <xf numFmtId="0" fontId="54" fillId="0" borderId="46" xfId="0" applyFont="1" applyBorder="1" applyAlignment="1">
      <alignment horizontal="center"/>
    </xf>
    <xf numFmtId="0" fontId="54" fillId="0" borderId="5" xfId="0" applyFont="1" applyBorder="1" applyAlignment="1">
      <alignment horizontal="center"/>
    </xf>
    <xf numFmtId="0" fontId="54" fillId="0" borderId="6" xfId="0" applyFont="1" applyBorder="1" applyAlignment="1">
      <alignment horizontal="center"/>
    </xf>
    <xf numFmtId="0" fontId="54" fillId="0" borderId="7" xfId="0" applyFont="1" applyBorder="1" applyAlignment="1">
      <alignment horizontal="center"/>
    </xf>
    <xf numFmtId="0" fontId="54" fillId="0" borderId="32" xfId="0" applyFont="1" applyBorder="1" applyAlignment="1">
      <alignment horizontal="center" vertical="center" wrapText="1"/>
    </xf>
    <xf numFmtId="0" fontId="54" fillId="0" borderId="65" xfId="0" applyFont="1" applyBorder="1" applyAlignment="1">
      <alignment horizontal="center" vertical="center" wrapText="1"/>
    </xf>
    <xf numFmtId="0" fontId="54" fillId="0" borderId="33" xfId="0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4" fillId="0" borderId="5" xfId="69" applyFont="1" applyBorder="1" applyAlignment="1">
      <alignment horizontal="center" vertical="center" wrapText="1"/>
    </xf>
    <xf numFmtId="0" fontId="54" fillId="0" borderId="6" xfId="69" applyFont="1" applyBorder="1" applyAlignment="1">
      <alignment horizontal="center" vertical="center" wrapText="1"/>
    </xf>
    <xf numFmtId="0" fontId="54" fillId="0" borderId="7" xfId="69" applyFon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7" fillId="0" borderId="5" xfId="0" applyFont="1" applyBorder="1" applyAlignment="1">
      <alignment horizontal="right"/>
    </xf>
    <xf numFmtId="0" fontId="27" fillId="0" borderId="6" xfId="0" applyFont="1" applyBorder="1" applyAlignment="1">
      <alignment horizontal="right"/>
    </xf>
    <xf numFmtId="0" fontId="27" fillId="0" borderId="43" xfId="0" applyFont="1" applyBorder="1" applyAlignment="1">
      <alignment horizontal="right"/>
    </xf>
    <xf numFmtId="0" fontId="54" fillId="0" borderId="25" xfId="0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 wrapText="1"/>
    </xf>
    <xf numFmtId="0" fontId="54" fillId="0" borderId="27" xfId="0" applyFont="1" applyBorder="1" applyAlignment="1">
      <alignment horizontal="center" vertical="center" wrapText="1"/>
    </xf>
    <xf numFmtId="0" fontId="54" fillId="0" borderId="28" xfId="0" applyFont="1" applyBorder="1" applyAlignment="1">
      <alignment horizontal="center" vertical="center" wrapText="1"/>
    </xf>
    <xf numFmtId="0" fontId="54" fillId="0" borderId="29" xfId="0" applyFont="1" applyBorder="1" applyAlignment="1">
      <alignment horizontal="center" vertical="center" wrapText="1"/>
    </xf>
    <xf numFmtId="0" fontId="54" fillId="0" borderId="30" xfId="0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 wrapText="1"/>
    </xf>
    <xf numFmtId="0" fontId="54" fillId="0" borderId="9" xfId="0" applyFont="1" applyBorder="1" applyAlignment="1">
      <alignment horizontal="center" vertical="center" wrapText="1"/>
    </xf>
    <xf numFmtId="49" fontId="25" fillId="0" borderId="8" xfId="0" applyNumberFormat="1" applyFon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54" fillId="0" borderId="40" xfId="0" applyFont="1" applyBorder="1" applyAlignment="1">
      <alignment horizontal="center" vertical="center" wrapText="1"/>
    </xf>
    <xf numFmtId="0" fontId="54" fillId="0" borderId="41" xfId="0" applyFont="1" applyBorder="1" applyAlignment="1">
      <alignment horizontal="center" vertical="center" wrapText="1"/>
    </xf>
    <xf numFmtId="0" fontId="54" fillId="0" borderId="59" xfId="0" applyFont="1" applyBorder="1" applyAlignment="1">
      <alignment horizontal="center" vertical="center" wrapText="1"/>
    </xf>
    <xf numFmtId="2" fontId="54" fillId="0" borderId="24" xfId="68" applyNumberFormat="1" applyFont="1" applyBorder="1" applyAlignment="1">
      <alignment horizontal="center" vertical="center" wrapText="1"/>
    </xf>
    <xf numFmtId="2" fontId="54" fillId="0" borderId="36" xfId="68" applyNumberFormat="1" applyFont="1" applyBorder="1" applyAlignment="1">
      <alignment horizontal="center" vertical="center" wrapText="1"/>
    </xf>
    <xf numFmtId="2" fontId="1" fillId="0" borderId="49" xfId="68" applyNumberFormat="1" applyBorder="1" applyAlignment="1">
      <alignment horizontal="center" vertical="center"/>
    </xf>
    <xf numFmtId="2" fontId="1" fillId="0" borderId="2" xfId="68" applyNumberFormat="1" applyBorder="1" applyAlignment="1">
      <alignment horizontal="center" vertical="center"/>
    </xf>
    <xf numFmtId="2" fontId="1" fillId="0" borderId="50" xfId="68" applyNumberFormat="1" applyBorder="1" applyAlignment="1">
      <alignment horizontal="center" vertical="center"/>
    </xf>
    <xf numFmtId="2" fontId="1" fillId="0" borderId="62" xfId="68" applyNumberFormat="1" applyBorder="1" applyAlignment="1">
      <alignment horizontal="center"/>
    </xf>
    <xf numFmtId="2" fontId="1" fillId="0" borderId="60" xfId="68" applyNumberFormat="1" applyBorder="1" applyAlignment="1">
      <alignment horizontal="center"/>
    </xf>
    <xf numFmtId="2" fontId="1" fillId="0" borderId="63" xfId="68" applyNumberFormat="1" applyBorder="1" applyAlignment="1">
      <alignment horizontal="center"/>
    </xf>
    <xf numFmtId="2" fontId="1" fillId="0" borderId="16" xfId="68" applyNumberFormat="1" applyFont="1" applyBorder="1" applyAlignment="1">
      <alignment horizontal="center" vertical="center" wrapText="1"/>
    </xf>
    <xf numFmtId="2" fontId="1" fillId="0" borderId="17" xfId="68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5" xfId="0" applyBorder="1" applyAlignment="1">
      <alignment horizontal="center"/>
    </xf>
    <xf numFmtId="0" fontId="0" fillId="0" borderId="64" xfId="0" applyBorder="1" applyAlignment="1">
      <alignment horizontal="center"/>
    </xf>
    <xf numFmtId="0" fontId="54" fillId="0" borderId="5" xfId="0" applyFont="1" applyBorder="1" applyAlignment="1">
      <alignment horizontal="center" vertical="center" wrapText="1"/>
    </xf>
    <xf numFmtId="0" fontId="54" fillId="0" borderId="6" xfId="0" applyFont="1" applyBorder="1" applyAlignment="1">
      <alignment horizontal="center" vertical="center" wrapText="1"/>
    </xf>
    <xf numFmtId="0" fontId="54" fillId="0" borderId="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3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54" fillId="0" borderId="24" xfId="0" applyFont="1" applyBorder="1" applyAlignment="1">
      <alignment horizontal="center"/>
    </xf>
    <xf numFmtId="0" fontId="54" fillId="0" borderId="36" xfId="0" applyFont="1" applyBorder="1" applyAlignment="1">
      <alignment horizontal="center"/>
    </xf>
    <xf numFmtId="0" fontId="54" fillId="0" borderId="5" xfId="0" applyFont="1" applyBorder="1" applyAlignment="1">
      <alignment horizontal="center" wrapText="1"/>
    </xf>
    <xf numFmtId="0" fontId="54" fillId="0" borderId="6" xfId="0" applyFont="1" applyBorder="1" applyAlignment="1">
      <alignment horizontal="center" wrapText="1"/>
    </xf>
    <xf numFmtId="0" fontId="54" fillId="0" borderId="7" xfId="0" applyFont="1" applyBorder="1" applyAlignment="1">
      <alignment horizontal="center" wrapText="1"/>
    </xf>
    <xf numFmtId="0" fontId="54" fillId="0" borderId="32" xfId="0" applyFont="1" applyBorder="1" applyAlignment="1">
      <alignment horizontal="center" wrapText="1"/>
    </xf>
    <xf numFmtId="0" fontId="54" fillId="0" borderId="33" xfId="0" applyFont="1" applyBorder="1" applyAlignment="1">
      <alignment horizontal="center" wrapText="1"/>
    </xf>
    <xf numFmtId="0" fontId="54" fillId="0" borderId="13" xfId="0" applyFont="1" applyBorder="1" applyAlignment="1">
      <alignment horizontal="center" wrapText="1"/>
    </xf>
    <xf numFmtId="0" fontId="25" fillId="0" borderId="5" xfId="0" applyFont="1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54" fillId="0" borderId="21" xfId="0" applyFont="1" applyBorder="1" applyAlignment="1">
      <alignment horizontal="center"/>
    </xf>
    <xf numFmtId="0" fontId="54" fillId="0" borderId="22" xfId="0" applyFont="1" applyBorder="1" applyAlignment="1">
      <alignment horizontal="center"/>
    </xf>
    <xf numFmtId="0" fontId="28" fillId="10" borderId="5" xfId="0" applyFont="1" applyFill="1" applyBorder="1" applyAlignment="1">
      <alignment horizontal="center" vertical="center"/>
    </xf>
    <xf numFmtId="0" fontId="28" fillId="10" borderId="6" xfId="0" applyFont="1" applyFill="1" applyBorder="1" applyAlignment="1">
      <alignment horizontal="center" vertical="center"/>
    </xf>
    <xf numFmtId="0" fontId="39" fillId="10" borderId="21" xfId="0" applyFont="1" applyFill="1" applyBorder="1" applyAlignment="1">
      <alignment horizontal="center"/>
    </xf>
    <xf numFmtId="0" fontId="39" fillId="10" borderId="22" xfId="0" applyFont="1" applyFill="1" applyBorder="1" applyAlignment="1">
      <alignment horizontal="center"/>
    </xf>
    <xf numFmtId="0" fontId="39" fillId="10" borderId="12" xfId="0" applyFont="1" applyFill="1" applyBorder="1" applyAlignment="1">
      <alignment horizontal="center"/>
    </xf>
  </cellXfs>
  <cellStyles count="70">
    <cellStyle name="Hiperlink" xfId="1" builtinId="8"/>
    <cellStyle name="Moeda 2" xfId="6"/>
    <cellStyle name="Moeda 3" xfId="7"/>
    <cellStyle name="Moeda 4" xfId="38"/>
    <cellStyle name="Moeda 5" xfId="43"/>
    <cellStyle name="Normal" xfId="0" builtinId="0"/>
    <cellStyle name="Normal 10" xfId="26"/>
    <cellStyle name="Normal 11" xfId="27"/>
    <cellStyle name="Normal 12" xfId="30"/>
    <cellStyle name="Normal 13" xfId="32"/>
    <cellStyle name="Normal 14" xfId="34"/>
    <cellStyle name="Normal 15" xfId="37"/>
    <cellStyle name="Normal 16" xfId="39"/>
    <cellStyle name="Normal 16 2" xfId="69"/>
    <cellStyle name="Normal 17" xfId="41"/>
    <cellStyle name="Normal 18" xfId="44"/>
    <cellStyle name="Normal 18 2" xfId="63"/>
    <cellStyle name="Normal 19" xfId="46"/>
    <cellStyle name="Normal 2" xfId="8"/>
    <cellStyle name="Normal 2 2" xfId="9"/>
    <cellStyle name="Normal 2 3" xfId="25"/>
    <cellStyle name="Normal 2 3 2" xfId="58"/>
    <cellStyle name="Normal 20" xfId="48"/>
    <cellStyle name="Normal 21" xfId="50"/>
    <cellStyle name="Normal 22" xfId="53"/>
    <cellStyle name="Normal 23" xfId="55"/>
    <cellStyle name="Normal 24" xfId="59"/>
    <cellStyle name="Normal 24 2" xfId="68"/>
    <cellStyle name="Normal 25" xfId="61"/>
    <cellStyle name="Normal 26" xfId="62"/>
    <cellStyle name="Normal 27" xfId="64"/>
    <cellStyle name="Normal 28" xfId="65"/>
    <cellStyle name="Normal 3" xfId="10"/>
    <cellStyle name="Normal 4" xfId="11"/>
    <cellStyle name="Normal 5" xfId="12"/>
    <cellStyle name="Normal 6" xfId="4"/>
    <cellStyle name="Normal 6 2" xfId="51"/>
    <cellStyle name="Normal 6 3" xfId="57"/>
    <cellStyle name="Normal 6 4" xfId="66"/>
    <cellStyle name="Normal 7" xfId="13"/>
    <cellStyle name="Normal 8" xfId="14"/>
    <cellStyle name="Normal 9" xfId="15"/>
    <cellStyle name="Porcentagem" xfId="2" builtinId="5"/>
    <cellStyle name="Porcentagem 2" xfId="16"/>
    <cellStyle name="Porcentagem 3" xfId="17"/>
    <cellStyle name="Separador de milhares 10" xfId="28"/>
    <cellStyle name="Separador de milhares 11" xfId="31"/>
    <cellStyle name="Separador de milhares 12" xfId="33"/>
    <cellStyle name="Separador de milhares 13" xfId="35"/>
    <cellStyle name="Separador de milhares 14" xfId="36"/>
    <cellStyle name="Separador de milhares 15" xfId="40"/>
    <cellStyle name="Separador de milhares 16" xfId="42"/>
    <cellStyle name="Separador de milhares 17" xfId="45"/>
    <cellStyle name="Separador de milhares 18" xfId="47"/>
    <cellStyle name="Separador de milhares 19" xfId="49"/>
    <cellStyle name="Separador de milhares 2" xfId="18"/>
    <cellStyle name="Separador de milhares 20" xfId="54"/>
    <cellStyle name="Separador de milhares 21" xfId="56"/>
    <cellStyle name="Separador de milhares 22" xfId="60"/>
    <cellStyle name="Separador de milhares 3" xfId="19"/>
    <cellStyle name="Separador de milhares 4" xfId="20"/>
    <cellStyle name="Separador de milhares 5" xfId="5"/>
    <cellStyle name="Separador de milhares 5 2" xfId="52"/>
    <cellStyle name="Separador de milhares 5 3" xfId="67"/>
    <cellStyle name="Separador de milhares 6" xfId="21"/>
    <cellStyle name="Separador de milhares 7" xfId="22"/>
    <cellStyle name="Separador de milhares 8" xfId="23"/>
    <cellStyle name="Separador de milhares 9" xfId="29"/>
    <cellStyle name="Vírgula" xfId="3" builtinId="3"/>
    <cellStyle name="Vírgula 2" xfId="2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xmlns="" id="{00000000-0008-0000-0D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xmlns="" id="{00000000-0008-0000-0D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B7" sqref="B7"/>
    </sheetView>
  </sheetViews>
  <sheetFormatPr defaultRowHeight="12.75" x14ac:dyDescent="0.2"/>
  <cols>
    <col min="1" max="1" width="7.5703125" customWidth="1"/>
    <col min="2" max="2" width="32.42578125" customWidth="1"/>
    <col min="3" max="4" width="10.28515625" bestFit="1" customWidth="1"/>
    <col min="5" max="5" width="11.42578125" bestFit="1" customWidth="1"/>
    <col min="6" max="6" width="10.42578125" bestFit="1" customWidth="1"/>
    <col min="7" max="7" width="11.42578125" bestFit="1" customWidth="1"/>
    <col min="8" max="8" width="10.42578125" bestFit="1" customWidth="1"/>
  </cols>
  <sheetData>
    <row r="1" spans="1:8" ht="18" x14ac:dyDescent="0.2">
      <c r="A1" s="138" t="s">
        <v>472</v>
      </c>
    </row>
    <row r="2" spans="1:8" x14ac:dyDescent="0.2">
      <c r="A2" s="101" t="s">
        <v>413</v>
      </c>
    </row>
    <row r="3" spans="1:8" x14ac:dyDescent="0.2">
      <c r="A3" s="311" t="s">
        <v>306</v>
      </c>
      <c r="B3" s="311" t="s">
        <v>352</v>
      </c>
      <c r="C3" s="311" t="s">
        <v>545</v>
      </c>
      <c r="D3" s="311" t="s">
        <v>547</v>
      </c>
      <c r="E3" s="311" t="s">
        <v>548</v>
      </c>
    </row>
    <row r="4" spans="1:8" x14ac:dyDescent="0.2">
      <c r="A4" s="312">
        <v>1</v>
      </c>
      <c r="B4" s="317" t="s">
        <v>482</v>
      </c>
      <c r="C4" s="314">
        <f>'1. Coleta Orgânica'!F310</f>
        <v>21575.557869855937</v>
      </c>
      <c r="D4" s="313"/>
      <c r="E4" s="313"/>
    </row>
    <row r="5" spans="1:8" x14ac:dyDescent="0.2">
      <c r="A5" s="312">
        <v>2</v>
      </c>
      <c r="B5" s="317" t="s">
        <v>483</v>
      </c>
      <c r="C5" s="314">
        <f>'2. Coleta Seletiva e Interior'!F312</f>
        <v>21731.254698029319</v>
      </c>
      <c r="D5" s="314">
        <f>C5*0.32</f>
        <v>6954.0015033693826</v>
      </c>
      <c r="E5" s="323">
        <f>(D5)/(C5+C4)</f>
        <v>0.16057523264887463</v>
      </c>
      <c r="G5" s="556"/>
      <c r="H5" s="556"/>
    </row>
    <row r="6" spans="1:8" x14ac:dyDescent="0.2">
      <c r="A6" s="312">
        <v>3</v>
      </c>
      <c r="B6" s="317" t="s">
        <v>511</v>
      </c>
      <c r="C6" s="314">
        <f>'3. Transbordo'!F111</f>
        <v>6432.976149054557</v>
      </c>
      <c r="D6" s="555">
        <f>0.1606*C6</f>
        <v>1033.1359695381618</v>
      </c>
      <c r="E6" s="323">
        <f>D6/C6</f>
        <v>0.16059999999999999</v>
      </c>
    </row>
    <row r="7" spans="1:8" x14ac:dyDescent="0.2">
      <c r="A7" s="312">
        <v>4</v>
      </c>
      <c r="B7" s="317" t="s">
        <v>512</v>
      </c>
      <c r="C7" s="314">
        <f>'4. Transporte '!F188</f>
        <v>7254.8085778366685</v>
      </c>
      <c r="D7" s="555">
        <f>C7*0.1606</f>
        <v>1165.1222576005689</v>
      </c>
      <c r="E7" s="323">
        <f t="shared" ref="E7:E10" si="0">D7/C7</f>
        <v>0.16059999999999999</v>
      </c>
    </row>
    <row r="8" spans="1:8" x14ac:dyDescent="0.2">
      <c r="A8" s="312">
        <v>5</v>
      </c>
      <c r="B8" s="317" t="s">
        <v>401</v>
      </c>
      <c r="C8" s="314">
        <f>'5. Destino Final'!E13</f>
        <v>12181.435630500002</v>
      </c>
      <c r="D8" s="555">
        <f>C8*0.1606</f>
        <v>1956.3385622583003</v>
      </c>
      <c r="E8" s="323">
        <f t="shared" si="0"/>
        <v>0.16059999999999999</v>
      </c>
    </row>
    <row r="9" spans="1:8" x14ac:dyDescent="0.2">
      <c r="A9" s="312"/>
      <c r="B9" s="313"/>
      <c r="C9" s="314"/>
      <c r="D9" s="313"/>
      <c r="E9" s="313"/>
    </row>
    <row r="10" spans="1:8" x14ac:dyDescent="0.2">
      <c r="A10" s="315" t="s">
        <v>353</v>
      </c>
      <c r="B10" s="315"/>
      <c r="C10" s="316">
        <f>SUM(C4:C9)</f>
        <v>69176.032925276479</v>
      </c>
      <c r="D10" s="314">
        <f>SUM(D5:D9)</f>
        <v>11108.598292766414</v>
      </c>
      <c r="E10" s="323">
        <f t="shared" si="0"/>
        <v>0.16058449470159489</v>
      </c>
      <c r="F10" s="319"/>
    </row>
    <row r="11" spans="1:8" x14ac:dyDescent="0.2">
      <c r="A11" s="313"/>
      <c r="B11" s="313"/>
      <c r="C11" s="313"/>
      <c r="D11" s="313"/>
      <c r="E11" s="313"/>
    </row>
    <row r="13" spans="1:8" x14ac:dyDescent="0.2">
      <c r="C13" s="333"/>
    </row>
    <row r="14" spans="1:8" x14ac:dyDescent="0.2">
      <c r="A14" s="101" t="s">
        <v>564</v>
      </c>
      <c r="C14" s="417"/>
    </row>
    <row r="16" spans="1:8" x14ac:dyDescent="0.2">
      <c r="C16" s="318"/>
    </row>
  </sheetData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A15" sqref="A15"/>
    </sheetView>
  </sheetViews>
  <sheetFormatPr defaultRowHeight="12.75" x14ac:dyDescent="0.2"/>
  <cols>
    <col min="1" max="1" width="41.85546875" bestFit="1" customWidth="1"/>
    <col min="2" max="2" width="5.5703125" bestFit="1" customWidth="1"/>
    <col min="4" max="4" width="9.7109375" bestFit="1" customWidth="1"/>
    <col min="5" max="5" width="8" style="114" bestFit="1" customWidth="1"/>
    <col min="6" max="6" width="9.7109375" bestFit="1" customWidth="1"/>
  </cols>
  <sheetData>
    <row r="1" spans="1:8" s="135" customFormat="1" ht="14.25" x14ac:dyDescent="0.2">
      <c r="A1" s="11" t="s">
        <v>191</v>
      </c>
      <c r="B1" s="8"/>
      <c r="C1" s="8"/>
      <c r="E1" s="136"/>
    </row>
    <row r="2" spans="1:8" s="135" customFormat="1" ht="14.25" x14ac:dyDescent="0.2">
      <c r="A2" s="130" t="s">
        <v>237</v>
      </c>
      <c r="B2" s="8"/>
      <c r="C2" s="8"/>
      <c r="E2" s="136"/>
    </row>
    <row r="3" spans="1:8" s="135" customFormat="1" ht="14.25" x14ac:dyDescent="0.2">
      <c r="A3" s="9" t="s">
        <v>192</v>
      </c>
      <c r="B3" s="8"/>
      <c r="C3" s="8"/>
      <c r="E3" s="136"/>
    </row>
    <row r="4" spans="1:8" s="135" customFormat="1" ht="14.25" x14ac:dyDescent="0.2">
      <c r="A4" s="9"/>
      <c r="B4" s="8"/>
      <c r="C4" s="8"/>
      <c r="E4" s="136"/>
    </row>
    <row r="5" spans="1:8" s="4" customFormat="1" ht="15.6" hidden="1" customHeight="1" x14ac:dyDescent="0.2">
      <c r="A5" s="275" t="s">
        <v>284</v>
      </c>
      <c r="B5" s="5"/>
      <c r="C5" s="5"/>
      <c r="D5" s="5"/>
      <c r="E5" s="5"/>
      <c r="F5" s="5"/>
      <c r="G5" s="6"/>
    </row>
    <row r="6" spans="1:8" s="4" customFormat="1" ht="16.5" customHeight="1" x14ac:dyDescent="0.2">
      <c r="A6" s="303" t="s">
        <v>302</v>
      </c>
      <c r="B6" s="5"/>
      <c r="C6" s="5"/>
      <c r="D6" s="6"/>
      <c r="E6" s="6"/>
      <c r="F6" s="6"/>
      <c r="G6" s="6"/>
    </row>
    <row r="7" spans="1:8" s="4" customFormat="1" ht="16.5" customHeight="1" x14ac:dyDescent="0.2">
      <c r="A7" s="303" t="s">
        <v>303</v>
      </c>
      <c r="B7" s="5"/>
      <c r="C7" s="5"/>
      <c r="D7" s="6"/>
      <c r="E7" s="6"/>
      <c r="F7" s="6"/>
      <c r="G7" s="6"/>
    </row>
    <row r="8" spans="1:8" s="135" customFormat="1" ht="15" thickBot="1" x14ac:dyDescent="0.25">
      <c r="B8" s="8"/>
      <c r="C8" s="8"/>
      <c r="E8" s="136"/>
    </row>
    <row r="9" spans="1:8" ht="15.75" x14ac:dyDescent="0.2">
      <c r="A9" s="635" t="s">
        <v>425</v>
      </c>
      <c r="B9" s="636"/>
      <c r="C9" s="636"/>
      <c r="D9" s="636"/>
      <c r="E9" s="636"/>
      <c r="F9" s="637"/>
    </row>
    <row r="10" spans="1:8" ht="16.5" thickBot="1" x14ac:dyDescent="0.25">
      <c r="A10" s="241"/>
      <c r="B10" s="242"/>
      <c r="C10" s="242"/>
      <c r="D10" s="242"/>
      <c r="E10" s="242"/>
      <c r="F10" s="243"/>
    </row>
    <row r="11" spans="1:8" ht="15" x14ac:dyDescent="0.25">
      <c r="A11" s="192"/>
      <c r="B11" s="8"/>
      <c r="C11" s="8"/>
      <c r="D11" s="632" t="s">
        <v>234</v>
      </c>
      <c r="E11" s="633"/>
      <c r="F11" s="634"/>
      <c r="G11" s="135"/>
      <c r="H11" s="135"/>
    </row>
    <row r="12" spans="1:8" ht="15" thickBot="1" x14ac:dyDescent="0.25">
      <c r="A12" s="189"/>
      <c r="B12" s="135"/>
      <c r="C12" s="135"/>
      <c r="D12" s="193" t="s">
        <v>179</v>
      </c>
      <c r="E12" s="194" t="s">
        <v>180</v>
      </c>
      <c r="F12" s="195" t="s">
        <v>181</v>
      </c>
      <c r="G12" s="135"/>
      <c r="H12" s="135"/>
    </row>
    <row r="13" spans="1:8" ht="14.25" x14ac:dyDescent="0.2">
      <c r="A13" s="196" t="s">
        <v>75</v>
      </c>
      <c r="B13" s="197" t="s">
        <v>76</v>
      </c>
      <c r="C13" s="198">
        <v>0.04</v>
      </c>
      <c r="D13" s="219">
        <v>2.9700000000000001E-2</v>
      </c>
      <c r="E13" s="220">
        <v>5.0799999999999998E-2</v>
      </c>
      <c r="F13" s="221">
        <v>6.2700000000000006E-2</v>
      </c>
      <c r="G13" s="135"/>
      <c r="H13" s="135"/>
    </row>
    <row r="14" spans="1:8" ht="14.25" x14ac:dyDescent="0.2">
      <c r="A14" s="200" t="s">
        <v>77</v>
      </c>
      <c r="B14" s="201" t="s">
        <v>78</v>
      </c>
      <c r="C14" s="202">
        <v>8.6E-3</v>
      </c>
      <c r="D14" s="219">
        <f>0.3%+0.56%</f>
        <v>8.6E-3</v>
      </c>
      <c r="E14" s="220">
        <f>0.48%+0.85%</f>
        <v>1.3299999999999999E-2</v>
      </c>
      <c r="F14" s="221">
        <f>0.82%+0.89%</f>
        <v>1.7099999999999997E-2</v>
      </c>
      <c r="G14" s="135"/>
      <c r="H14" s="135"/>
    </row>
    <row r="15" spans="1:8" ht="14.25" x14ac:dyDescent="0.2">
      <c r="A15" s="200" t="s">
        <v>79</v>
      </c>
      <c r="B15" s="201" t="s">
        <v>80</v>
      </c>
      <c r="C15" s="202">
        <v>0.06</v>
      </c>
      <c r="D15" s="219">
        <v>7.7799999999999994E-2</v>
      </c>
      <c r="E15" s="220">
        <v>0.1085</v>
      </c>
      <c r="F15" s="221">
        <v>0.13550000000000001</v>
      </c>
      <c r="G15" s="135"/>
      <c r="H15" s="135"/>
    </row>
    <row r="16" spans="1:8" ht="14.25" x14ac:dyDescent="0.2">
      <c r="A16" s="200" t="s">
        <v>81</v>
      </c>
      <c r="B16" s="201" t="s">
        <v>82</v>
      </c>
      <c r="C16" s="203">
        <f>(1+E16)^(E17/252)-1</f>
        <v>1.8928642061037948E-3</v>
      </c>
      <c r="D16" s="219" t="s">
        <v>272</v>
      </c>
      <c r="E16" s="204">
        <v>0.1</v>
      </c>
      <c r="F16" s="199"/>
      <c r="G16" s="135"/>
      <c r="H16" s="135"/>
    </row>
    <row r="17" spans="1:8" ht="14.25" x14ac:dyDescent="0.2">
      <c r="A17" s="200" t="s">
        <v>83</v>
      </c>
      <c r="B17" s="630" t="s">
        <v>84</v>
      </c>
      <c r="C17" s="202">
        <v>0</v>
      </c>
      <c r="D17" s="273" t="s">
        <v>182</v>
      </c>
      <c r="E17" s="205">
        <v>5</v>
      </c>
      <c r="F17" s="206"/>
      <c r="G17" s="135"/>
      <c r="H17" s="135"/>
    </row>
    <row r="18" spans="1:8" ht="15" thickBot="1" x14ac:dyDescent="0.25">
      <c r="A18" s="207" t="s">
        <v>347</v>
      </c>
      <c r="B18" s="631"/>
      <c r="C18" s="208">
        <v>3.6499999999999998E-2</v>
      </c>
      <c r="D18" s="183"/>
      <c r="E18" s="209"/>
      <c r="F18" s="206"/>
      <c r="G18" s="135"/>
      <c r="H18" s="135"/>
    </row>
    <row r="19" spans="1:8" ht="14.25" x14ac:dyDescent="0.2">
      <c r="A19" s="210" t="s">
        <v>85</v>
      </c>
      <c r="B19" s="211"/>
      <c r="C19" s="212"/>
      <c r="D19" s="183"/>
      <c r="E19" s="209"/>
      <c r="F19" s="206"/>
      <c r="G19" s="135"/>
      <c r="H19" s="135"/>
    </row>
    <row r="20" spans="1:8" ht="15" thickBot="1" x14ac:dyDescent="0.25">
      <c r="A20" s="213" t="s">
        <v>86</v>
      </c>
      <c r="B20" s="214"/>
      <c r="C20" s="215"/>
      <c r="D20" s="183"/>
      <c r="E20" s="209"/>
      <c r="F20" s="206"/>
      <c r="G20" s="135"/>
      <c r="H20" s="135"/>
    </row>
    <row r="21" spans="1:8" ht="15.75" thickBot="1" x14ac:dyDescent="0.25">
      <c r="A21" s="216" t="s">
        <v>87</v>
      </c>
      <c r="B21" s="217"/>
      <c r="C21" s="218">
        <f>ROUND((((1+C13+C14)*(1+C15)*(1+C16))/(1-(C17+C18))-1),4)</f>
        <v>0.15579999999999999</v>
      </c>
      <c r="D21" s="222">
        <v>0.21429999999999999</v>
      </c>
      <c r="E21" s="223">
        <v>0.2717</v>
      </c>
      <c r="F21" s="224">
        <v>0.3362</v>
      </c>
      <c r="G21" s="135"/>
      <c r="H21" s="135"/>
    </row>
    <row r="22" spans="1:8" ht="14.25" x14ac:dyDescent="0.2">
      <c r="A22" s="135"/>
      <c r="B22" s="135"/>
      <c r="C22" s="135"/>
      <c r="D22" s="135"/>
      <c r="E22" s="136"/>
      <c r="F22" s="135"/>
      <c r="G22" s="135"/>
      <c r="H22" s="135"/>
    </row>
    <row r="23" spans="1:8" ht="14.25" x14ac:dyDescent="0.2">
      <c r="A23" s="135"/>
      <c r="B23" s="135"/>
      <c r="C23" s="135"/>
      <c r="D23" s="135"/>
      <c r="E23" s="136"/>
      <c r="F23" s="135"/>
      <c r="G23" s="135"/>
      <c r="H23" s="135"/>
    </row>
    <row r="24" spans="1:8" ht="14.25" x14ac:dyDescent="0.2">
      <c r="A24" s="135"/>
      <c r="B24" s="135"/>
      <c r="C24" s="135"/>
      <c r="D24" s="135"/>
      <c r="E24" s="136"/>
      <c r="F24" s="135"/>
      <c r="G24" s="135"/>
      <c r="H24" s="135"/>
    </row>
    <row r="25" spans="1:8" ht="14.25" x14ac:dyDescent="0.2">
      <c r="A25" s="135"/>
      <c r="B25" s="135"/>
      <c r="C25" s="135"/>
      <c r="D25" s="135"/>
      <c r="E25" s="136"/>
      <c r="F25" s="135"/>
      <c r="G25" s="135"/>
      <c r="H25" s="135"/>
    </row>
  </sheetData>
  <mergeCells count="3">
    <mergeCell ref="A9:F9"/>
    <mergeCell ref="D11:F11"/>
    <mergeCell ref="B17:B18"/>
  </mergeCells>
  <pageMargins left="0.90551181102362199" right="0.5118110236220472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8" workbookViewId="0">
      <selection activeCell="A15" sqref="A15"/>
    </sheetView>
  </sheetViews>
  <sheetFormatPr defaultColWidth="8.85546875" defaultRowHeight="15" x14ac:dyDescent="0.25"/>
  <cols>
    <col min="1" max="1" width="28.5703125" style="377" customWidth="1"/>
    <col min="2" max="2" width="24.85546875" style="377" customWidth="1"/>
    <col min="3" max="3" width="17.28515625" style="377" customWidth="1"/>
    <col min="4" max="4" width="8.85546875" style="377"/>
    <col min="5" max="6" width="11.42578125" style="377" hidden="1" customWidth="1"/>
    <col min="7" max="7" width="11.42578125" style="377" bestFit="1" customWidth="1"/>
    <col min="8" max="8" width="8.85546875" style="377"/>
    <col min="9" max="10" width="11.28515625" style="377" bestFit="1" customWidth="1"/>
    <col min="11" max="16384" width="8.85546875" style="377"/>
  </cols>
  <sheetData>
    <row r="1" spans="1:6" ht="18" x14ac:dyDescent="0.25">
      <c r="A1" s="138" t="s">
        <v>472</v>
      </c>
    </row>
    <row r="2" spans="1:6" ht="15.75" x14ac:dyDescent="0.25">
      <c r="A2" s="376" t="s">
        <v>422</v>
      </c>
    </row>
    <row r="3" spans="1:6" ht="15.75" x14ac:dyDescent="0.25">
      <c r="A3" s="376" t="s">
        <v>538</v>
      </c>
    </row>
    <row r="4" spans="1:6" x14ac:dyDescent="0.25">
      <c r="A4" s="378"/>
    </row>
    <row r="5" spans="1:6" ht="15.75" x14ac:dyDescent="0.25">
      <c r="A5" s="548" t="s">
        <v>403</v>
      </c>
      <c r="B5" s="543"/>
      <c r="C5" s="543"/>
      <c r="E5" s="379" t="s">
        <v>404</v>
      </c>
      <c r="F5" s="379" t="s">
        <v>404</v>
      </c>
    </row>
    <row r="6" spans="1:6" ht="37.5" x14ac:dyDescent="0.25">
      <c r="A6" s="544" t="s">
        <v>480</v>
      </c>
      <c r="B6" s="544" t="s">
        <v>549</v>
      </c>
      <c r="C6" s="544" t="s">
        <v>534</v>
      </c>
    </row>
    <row r="7" spans="1:6" ht="18.75" x14ac:dyDescent="0.25">
      <c r="A7" s="545">
        <v>44835</v>
      </c>
      <c r="B7" s="546">
        <v>75270</v>
      </c>
      <c r="C7" s="546">
        <f>B7/1000</f>
        <v>75.27</v>
      </c>
    </row>
    <row r="8" spans="1:6" ht="18.75" x14ac:dyDescent="0.25">
      <c r="A8" s="545">
        <v>44866</v>
      </c>
      <c r="B8" s="546">
        <v>71620</v>
      </c>
      <c r="C8" s="546">
        <f t="shared" ref="C8:C18" si="0">B8/1000</f>
        <v>71.62</v>
      </c>
    </row>
    <row r="9" spans="1:6" ht="18.75" x14ac:dyDescent="0.25">
      <c r="A9" s="545">
        <v>44896</v>
      </c>
      <c r="B9" s="546">
        <f>85940+14600</f>
        <v>100540</v>
      </c>
      <c r="C9" s="546">
        <f t="shared" si="0"/>
        <v>100.54</v>
      </c>
    </row>
    <row r="10" spans="1:6" ht="18.75" x14ac:dyDescent="0.25">
      <c r="A10" s="545">
        <v>44927</v>
      </c>
      <c r="B10" s="546">
        <v>76580</v>
      </c>
      <c r="C10" s="546">
        <f t="shared" si="0"/>
        <v>76.58</v>
      </c>
    </row>
    <row r="11" spans="1:6" ht="18.75" x14ac:dyDescent="0.25">
      <c r="A11" s="545">
        <v>44958</v>
      </c>
      <c r="B11" s="546">
        <v>65580</v>
      </c>
      <c r="C11" s="546">
        <f t="shared" si="0"/>
        <v>65.58</v>
      </c>
    </row>
    <row r="12" spans="1:6" ht="18.75" x14ac:dyDescent="0.25">
      <c r="A12" s="545">
        <v>44986</v>
      </c>
      <c r="B12" s="546">
        <f>77970+12420</f>
        <v>90390</v>
      </c>
      <c r="C12" s="546">
        <f t="shared" si="0"/>
        <v>90.39</v>
      </c>
    </row>
    <row r="13" spans="1:6" ht="18.75" x14ac:dyDescent="0.25">
      <c r="A13" s="545">
        <v>45017</v>
      </c>
      <c r="B13" s="546">
        <v>65760</v>
      </c>
      <c r="C13" s="546">
        <f t="shared" si="0"/>
        <v>65.760000000000005</v>
      </c>
    </row>
    <row r="14" spans="1:6" ht="18.75" x14ac:dyDescent="0.25">
      <c r="A14" s="545">
        <v>45047</v>
      </c>
      <c r="B14" s="546">
        <v>77450</v>
      </c>
      <c r="C14" s="546">
        <f t="shared" si="0"/>
        <v>77.45</v>
      </c>
    </row>
    <row r="15" spans="1:6" ht="18.75" x14ac:dyDescent="0.25">
      <c r="A15" s="545">
        <v>45078</v>
      </c>
      <c r="B15" s="546">
        <f>82000+19050</f>
        <v>101050</v>
      </c>
      <c r="C15" s="546">
        <f t="shared" si="0"/>
        <v>101.05</v>
      </c>
    </row>
    <row r="16" spans="1:6" ht="18.75" x14ac:dyDescent="0.25">
      <c r="A16" s="545">
        <v>45108</v>
      </c>
      <c r="B16" s="546">
        <v>79040</v>
      </c>
      <c r="C16" s="546">
        <f t="shared" si="0"/>
        <v>79.040000000000006</v>
      </c>
    </row>
    <row r="17" spans="1:3" ht="18.75" x14ac:dyDescent="0.25">
      <c r="A17" s="545">
        <v>45139</v>
      </c>
      <c r="B17" s="546">
        <v>75780</v>
      </c>
      <c r="C17" s="546">
        <f t="shared" si="0"/>
        <v>75.78</v>
      </c>
    </row>
    <row r="18" spans="1:3" ht="18.75" x14ac:dyDescent="0.25">
      <c r="A18" s="545">
        <v>45170</v>
      </c>
      <c r="B18" s="546">
        <f>75860+14220</f>
        <v>90080</v>
      </c>
      <c r="C18" s="546">
        <f t="shared" si="0"/>
        <v>90.08</v>
      </c>
    </row>
    <row r="19" spans="1:3" ht="21.75" customHeight="1" x14ac:dyDescent="0.25">
      <c r="A19" s="547" t="s">
        <v>535</v>
      </c>
      <c r="B19" s="546">
        <f>SUM(B7:B18)</f>
        <v>969140</v>
      </c>
      <c r="C19" s="546">
        <f>SUM(C7:C18)</f>
        <v>969.14</v>
      </c>
    </row>
    <row r="20" spans="1:3" x14ac:dyDescent="0.25">
      <c r="A20" s="379"/>
      <c r="B20" s="533"/>
      <c r="C20" s="379"/>
    </row>
    <row r="21" spans="1:3" ht="18.75" x14ac:dyDescent="0.3">
      <c r="A21" s="534" t="s">
        <v>435</v>
      </c>
      <c r="B21" s="540">
        <v>12</v>
      </c>
      <c r="C21" s="539">
        <v>12</v>
      </c>
    </row>
    <row r="22" spans="1:3" ht="18.75" x14ac:dyDescent="0.3">
      <c r="A22" s="535" t="s">
        <v>536</v>
      </c>
      <c r="B22" s="541">
        <f>B19/B21</f>
        <v>80761.666666666672</v>
      </c>
      <c r="C22" s="541">
        <f>C19/C21</f>
        <v>80.76166666666667</v>
      </c>
    </row>
    <row r="23" spans="1:3" ht="15.75" x14ac:dyDescent="0.25">
      <c r="A23" s="537"/>
      <c r="B23" s="538"/>
      <c r="C23" s="537"/>
    </row>
    <row r="24" spans="1:3" ht="18.75" x14ac:dyDescent="0.3">
      <c r="A24" s="535" t="s">
        <v>563</v>
      </c>
      <c r="B24" s="535"/>
      <c r="C24" s="542">
        <f>C22*0.13</f>
        <v>10.499016666666668</v>
      </c>
    </row>
    <row r="25" spans="1:3" ht="18.75" x14ac:dyDescent="0.3">
      <c r="A25" s="535" t="s">
        <v>537</v>
      </c>
      <c r="B25" s="536"/>
      <c r="C25" s="542">
        <f>C22-C24</f>
        <v>70.262650000000008</v>
      </c>
    </row>
    <row r="27" spans="1:3" x14ac:dyDescent="0.25">
      <c r="C27" s="557"/>
    </row>
    <row r="29" spans="1:3" x14ac:dyDescent="0.25">
      <c r="C29" s="55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workbookViewId="0">
      <selection activeCell="A15" sqref="A15"/>
    </sheetView>
  </sheetViews>
  <sheetFormatPr defaultColWidth="8.85546875" defaultRowHeight="15" x14ac:dyDescent="0.25"/>
  <cols>
    <col min="1" max="1" width="8.5703125" style="288" customWidth="1"/>
    <col min="2" max="3" width="9.140625" style="288" customWidth="1"/>
    <col min="4" max="4" width="8.28515625" style="288" customWidth="1"/>
    <col min="5" max="5" width="10.42578125" style="288" customWidth="1"/>
    <col min="6" max="6" width="8.140625" style="288" bestFit="1" customWidth="1"/>
    <col min="7" max="7" width="8" style="288" customWidth="1"/>
    <col min="8" max="8" width="5.85546875" style="288" customWidth="1"/>
    <col min="9" max="9" width="7.42578125" style="288" bestFit="1" customWidth="1"/>
    <col min="10" max="10" width="8.85546875" style="288" customWidth="1"/>
    <col min="11" max="15" width="0" style="288" hidden="1" customWidth="1"/>
    <col min="16" max="16" width="8.85546875" style="288"/>
    <col min="17" max="20" width="0" style="288" hidden="1" customWidth="1"/>
    <col min="21" max="16384" width="8.85546875" style="288"/>
  </cols>
  <sheetData>
    <row r="1" spans="1:21" ht="18" x14ac:dyDescent="0.25">
      <c r="A1" s="138" t="s">
        <v>472</v>
      </c>
    </row>
    <row r="2" spans="1:21" x14ac:dyDescent="0.25">
      <c r="A2" s="287" t="s">
        <v>393</v>
      </c>
    </row>
    <row r="3" spans="1:21" ht="15.75" thickBot="1" x14ac:dyDescent="0.3">
      <c r="A3" s="287" t="s">
        <v>473</v>
      </c>
    </row>
    <row r="4" spans="1:21" ht="30.75" thickBot="1" x14ac:dyDescent="0.3">
      <c r="A4" s="381" t="s">
        <v>358</v>
      </c>
      <c r="B4" s="382" t="s">
        <v>377</v>
      </c>
      <c r="C4" s="382" t="s">
        <v>309</v>
      </c>
      <c r="D4" s="388" t="s">
        <v>307</v>
      </c>
      <c r="E4" s="382" t="s">
        <v>308</v>
      </c>
      <c r="F4" s="382" t="s">
        <v>310</v>
      </c>
      <c r="G4" s="382" t="s">
        <v>311</v>
      </c>
      <c r="H4" s="389" t="s">
        <v>374</v>
      </c>
      <c r="I4" s="389" t="s">
        <v>407</v>
      </c>
      <c r="J4" s="380"/>
      <c r="K4" s="380"/>
    </row>
    <row r="5" spans="1:21" x14ac:dyDescent="0.25">
      <c r="A5" s="638" t="s">
        <v>359</v>
      </c>
      <c r="B5" s="640" t="s">
        <v>376</v>
      </c>
      <c r="C5" s="642" t="s">
        <v>470</v>
      </c>
      <c r="D5" s="383">
        <v>3</v>
      </c>
      <c r="E5" s="412" t="s">
        <v>392</v>
      </c>
      <c r="F5" s="410">
        <v>0.29166666666666669</v>
      </c>
      <c r="G5" s="410">
        <v>0.54166666666666663</v>
      </c>
      <c r="H5" s="410">
        <v>0.25</v>
      </c>
      <c r="I5" s="384">
        <f>D5*6*2</f>
        <v>36</v>
      </c>
      <c r="J5" s="380"/>
      <c r="K5" s="387" t="e">
        <f>I5+#REF!+#REF!+#REF!+#REF!</f>
        <v>#REF!</v>
      </c>
      <c r="O5" s="336" t="e">
        <f>I6+#REF!+#REF!+#REF!+#REF!</f>
        <v>#REF!</v>
      </c>
      <c r="P5" s="437"/>
      <c r="Q5" s="288">
        <v>12</v>
      </c>
    </row>
    <row r="6" spans="1:21" ht="15.75" thickBot="1" x14ac:dyDescent="0.3">
      <c r="A6" s="639"/>
      <c r="B6" s="641"/>
      <c r="C6" s="643"/>
      <c r="D6" s="385">
        <v>1</v>
      </c>
      <c r="E6" s="413" t="s">
        <v>46</v>
      </c>
      <c r="F6" s="411">
        <v>0.29166666666666669</v>
      </c>
      <c r="G6" s="411">
        <v>0.5625</v>
      </c>
      <c r="H6" s="411">
        <v>0.27083333333333331</v>
      </c>
      <c r="I6" s="386">
        <f>D6*6.5*2</f>
        <v>13</v>
      </c>
      <c r="J6" s="380"/>
      <c r="K6" s="380">
        <v>6</v>
      </c>
      <c r="O6" s="288">
        <v>2</v>
      </c>
      <c r="P6" s="438"/>
      <c r="R6" s="288">
        <v>13</v>
      </c>
    </row>
    <row r="7" spans="1:21" x14ac:dyDescent="0.25">
      <c r="A7" s="638" t="s">
        <v>414</v>
      </c>
      <c r="B7" s="640" t="s">
        <v>376</v>
      </c>
      <c r="C7" s="642" t="s">
        <v>465</v>
      </c>
      <c r="D7" s="383">
        <v>3</v>
      </c>
      <c r="E7" s="412" t="s">
        <v>392</v>
      </c>
      <c r="F7" s="410">
        <v>0.29166666666666669</v>
      </c>
      <c r="G7" s="410">
        <v>0.58333333333333337</v>
      </c>
      <c r="H7" s="410">
        <v>0.29166666666666669</v>
      </c>
      <c r="I7" s="384">
        <f>D7*7*1</f>
        <v>21</v>
      </c>
      <c r="J7" s="380"/>
      <c r="K7" s="387" t="e">
        <f>I9+#REF!+#REF!+#REF!+#REF!</f>
        <v>#REF!</v>
      </c>
      <c r="L7" s="292">
        <v>15</v>
      </c>
      <c r="M7" s="292">
        <v>12</v>
      </c>
      <c r="N7" s="292">
        <v>6</v>
      </c>
      <c r="O7" s="336" t="e">
        <f>#REF!+#REF!+#REF!+#REF!+#REF!</f>
        <v>#REF!</v>
      </c>
      <c r="P7" s="438"/>
      <c r="Q7" s="438">
        <v>7</v>
      </c>
      <c r="R7" s="438"/>
      <c r="S7" s="438"/>
    </row>
    <row r="8" spans="1:21" ht="15.75" thickBot="1" x14ac:dyDescent="0.3">
      <c r="A8" s="639"/>
      <c r="B8" s="641"/>
      <c r="C8" s="643"/>
      <c r="D8" s="385">
        <v>1</v>
      </c>
      <c r="E8" s="413" t="s">
        <v>46</v>
      </c>
      <c r="F8" s="411">
        <v>0.29166666666666669</v>
      </c>
      <c r="G8" s="411">
        <v>0.60416666666666663</v>
      </c>
      <c r="H8" s="411">
        <v>0.3125</v>
      </c>
      <c r="I8" s="386">
        <f>D8*7.5*1</f>
        <v>7.5</v>
      </c>
      <c r="J8" s="380"/>
      <c r="K8" s="387"/>
      <c r="L8" s="292"/>
      <c r="M8" s="292"/>
      <c r="N8" s="292"/>
      <c r="O8" s="336"/>
      <c r="P8" s="438"/>
      <c r="Q8" s="438"/>
      <c r="R8" s="438">
        <v>7.5</v>
      </c>
      <c r="S8" s="438"/>
    </row>
    <row r="9" spans="1:21" x14ac:dyDescent="0.25">
      <c r="A9" s="638" t="s">
        <v>359</v>
      </c>
      <c r="B9" s="640" t="s">
        <v>378</v>
      </c>
      <c r="C9" s="649" t="s">
        <v>462</v>
      </c>
      <c r="D9" s="383">
        <v>3</v>
      </c>
      <c r="E9" s="412" t="s">
        <v>392</v>
      </c>
      <c r="F9" s="410">
        <v>0.29166666666666669</v>
      </c>
      <c r="G9" s="410">
        <v>0.54166666666666663</v>
      </c>
      <c r="H9" s="410">
        <v>0.25</v>
      </c>
      <c r="I9" s="384">
        <f>D9*6*1</f>
        <v>18</v>
      </c>
      <c r="L9" s="292"/>
      <c r="M9" s="292"/>
      <c r="N9" s="292"/>
      <c r="Q9" s="549"/>
      <c r="R9" s="549"/>
      <c r="S9" s="549"/>
      <c r="T9" s="549"/>
    </row>
    <row r="10" spans="1:21" ht="15.75" thickBot="1" x14ac:dyDescent="0.3">
      <c r="A10" s="647"/>
      <c r="B10" s="648"/>
      <c r="C10" s="650"/>
      <c r="D10" s="416">
        <v>1</v>
      </c>
      <c r="E10" s="413" t="s">
        <v>46</v>
      </c>
      <c r="F10" s="411">
        <v>0.29166666666666669</v>
      </c>
      <c r="G10" s="411">
        <v>0.5625</v>
      </c>
      <c r="H10" s="411">
        <v>0.27083333333333331</v>
      </c>
      <c r="I10" s="386">
        <f>D10*6.5*1</f>
        <v>6.5</v>
      </c>
    </row>
    <row r="11" spans="1:21" x14ac:dyDescent="0.25">
      <c r="A11" s="638" t="s">
        <v>414</v>
      </c>
      <c r="B11" s="640" t="s">
        <v>378</v>
      </c>
      <c r="C11" s="642" t="s">
        <v>463</v>
      </c>
      <c r="D11" s="383">
        <v>3</v>
      </c>
      <c r="E11" s="412" t="s">
        <v>392</v>
      </c>
      <c r="F11" s="410">
        <v>0.29166666666666669</v>
      </c>
      <c r="G11" s="410">
        <v>0.58333333333333337</v>
      </c>
      <c r="H11" s="410">
        <v>0.29166666666666669</v>
      </c>
      <c r="I11" s="384">
        <f>D11*7*1</f>
        <v>21</v>
      </c>
      <c r="L11" s="337" t="e">
        <f>#REF!/4</f>
        <v>#REF!</v>
      </c>
      <c r="M11" s="339" t="e">
        <f>#REF!/3</f>
        <v>#REF!</v>
      </c>
      <c r="N11" s="339" t="e">
        <f>#REF!/3</f>
        <v>#REF!</v>
      </c>
      <c r="P11" s="438"/>
      <c r="Q11" s="438"/>
      <c r="R11" s="438"/>
      <c r="S11" s="438"/>
      <c r="T11" s="438"/>
      <c r="U11" s="438"/>
    </row>
    <row r="12" spans="1:21" ht="15.75" thickBot="1" x14ac:dyDescent="0.3">
      <c r="A12" s="639"/>
      <c r="B12" s="648"/>
      <c r="C12" s="643"/>
      <c r="D12" s="385">
        <v>1</v>
      </c>
      <c r="E12" s="413" t="s">
        <v>46</v>
      </c>
      <c r="F12" s="411">
        <v>0.29166666666666669</v>
      </c>
      <c r="G12" s="411">
        <v>0.60416666666666663</v>
      </c>
      <c r="H12" s="411">
        <v>0.3125</v>
      </c>
      <c r="I12" s="386">
        <f>D12*7.5*1</f>
        <v>7.5</v>
      </c>
      <c r="P12" s="438"/>
      <c r="Q12" s="438"/>
      <c r="R12" s="438"/>
      <c r="S12" s="438"/>
      <c r="T12" s="438"/>
      <c r="U12" s="438"/>
    </row>
    <row r="13" spans="1:21" ht="15" customHeight="1" x14ac:dyDescent="0.25">
      <c r="A13" s="644" t="s">
        <v>561</v>
      </c>
      <c r="B13" s="646" t="s">
        <v>417</v>
      </c>
      <c r="C13" s="642" t="s">
        <v>471</v>
      </c>
      <c r="D13" s="383">
        <v>3</v>
      </c>
      <c r="E13" s="412" t="s">
        <v>392</v>
      </c>
      <c r="F13" s="410">
        <v>0.60416666666666663</v>
      </c>
      <c r="G13" s="410">
        <v>0.89583333333333337</v>
      </c>
      <c r="H13" s="410">
        <v>0.29166666666666669</v>
      </c>
      <c r="I13" s="384">
        <f>D13*7*1</f>
        <v>21</v>
      </c>
      <c r="P13" s="438"/>
      <c r="Q13" s="438"/>
      <c r="R13" s="438"/>
      <c r="S13" s="438"/>
      <c r="T13" s="438"/>
      <c r="U13" s="438"/>
    </row>
    <row r="14" spans="1:21" ht="31.5" customHeight="1" thickBot="1" x14ac:dyDescent="0.3">
      <c r="A14" s="645"/>
      <c r="B14" s="643"/>
      <c r="C14" s="643"/>
      <c r="D14" s="385">
        <v>1</v>
      </c>
      <c r="E14" s="413" t="s">
        <v>46</v>
      </c>
      <c r="F14" s="411">
        <v>0.60416666666666663</v>
      </c>
      <c r="G14" s="411">
        <v>0.91666666666666663</v>
      </c>
      <c r="H14" s="411">
        <v>0.3125</v>
      </c>
      <c r="I14" s="386">
        <f>D14*7.5*1</f>
        <v>7.5</v>
      </c>
      <c r="P14" s="549"/>
      <c r="Q14" s="320"/>
      <c r="R14" s="320"/>
      <c r="S14" s="320"/>
      <c r="T14" s="320"/>
      <c r="U14" s="549"/>
    </row>
    <row r="15" spans="1:21" x14ac:dyDescent="0.25">
      <c r="A15" s="287"/>
      <c r="B15" s="287"/>
      <c r="C15" s="287"/>
      <c r="D15" s="287"/>
      <c r="E15" s="287"/>
      <c r="F15" s="287"/>
      <c r="G15" s="287"/>
      <c r="H15" s="287"/>
    </row>
    <row r="16" spans="1:21" x14ac:dyDescent="0.25">
      <c r="A16" s="287" t="s">
        <v>408</v>
      </c>
      <c r="Q16" s="549"/>
      <c r="R16" s="549"/>
      <c r="S16" s="549"/>
      <c r="T16" s="549"/>
    </row>
    <row r="17" spans="1:20" x14ac:dyDescent="0.25">
      <c r="A17" s="290" t="s">
        <v>312</v>
      </c>
      <c r="B17" s="291"/>
      <c r="C17" s="291"/>
      <c r="D17" s="291"/>
      <c r="E17" s="291"/>
      <c r="F17" s="291"/>
      <c r="G17" s="335">
        <v>6.34</v>
      </c>
      <c r="Q17" s="554"/>
      <c r="R17" s="554"/>
      <c r="S17" s="554"/>
      <c r="T17" s="554"/>
    </row>
    <row r="18" spans="1:20" x14ac:dyDescent="0.25">
      <c r="A18" s="290" t="s">
        <v>313</v>
      </c>
      <c r="B18" s="291"/>
      <c r="C18" s="291"/>
      <c r="D18" s="291"/>
      <c r="E18" s="291"/>
      <c r="F18" s="291"/>
      <c r="G18" s="292">
        <v>3</v>
      </c>
    </row>
    <row r="19" spans="1:20" x14ac:dyDescent="0.25">
      <c r="A19" s="290" t="s">
        <v>314</v>
      </c>
      <c r="B19" s="291"/>
      <c r="C19" s="291"/>
      <c r="D19" s="291"/>
      <c r="E19" s="291"/>
      <c r="F19" s="291"/>
      <c r="G19" s="335">
        <f>G17*G18</f>
        <v>19.02</v>
      </c>
    </row>
    <row r="20" spans="1:20" x14ac:dyDescent="0.25">
      <c r="A20" s="290" t="s">
        <v>315</v>
      </c>
      <c r="B20" s="291"/>
      <c r="C20" s="291"/>
      <c r="D20" s="291"/>
      <c r="E20" s="291"/>
      <c r="F20" s="291"/>
      <c r="G20" s="292">
        <v>6</v>
      </c>
    </row>
    <row r="21" spans="1:20" x14ac:dyDescent="0.25">
      <c r="A21" s="290" t="s">
        <v>316</v>
      </c>
      <c r="B21" s="291"/>
      <c r="C21" s="291"/>
      <c r="D21" s="291"/>
      <c r="E21" s="291"/>
      <c r="F21" s="291"/>
      <c r="G21" s="292">
        <v>7</v>
      </c>
    </row>
    <row r="22" spans="1:20" x14ac:dyDescent="0.25">
      <c r="A22" s="290" t="s">
        <v>317</v>
      </c>
      <c r="B22" s="291"/>
      <c r="C22" s="291"/>
      <c r="D22" s="291"/>
      <c r="E22" s="291"/>
      <c r="F22" s="291"/>
      <c r="G22" s="299">
        <f>G19/G20</f>
        <v>3.17</v>
      </c>
    </row>
    <row r="23" spans="1:20" x14ac:dyDescent="0.25">
      <c r="A23" s="290" t="s">
        <v>318</v>
      </c>
      <c r="B23" s="291"/>
      <c r="C23" s="291"/>
      <c r="D23" s="291"/>
      <c r="E23" s="291"/>
      <c r="F23" s="291"/>
      <c r="G23" s="292">
        <v>30</v>
      </c>
    </row>
    <row r="24" spans="1:20" x14ac:dyDescent="0.25">
      <c r="A24" s="293" t="s">
        <v>319</v>
      </c>
      <c r="B24" s="294"/>
      <c r="C24" s="294"/>
      <c r="D24" s="294"/>
      <c r="E24" s="294"/>
      <c r="F24" s="294"/>
      <c r="G24" s="390">
        <f>G22*G23</f>
        <v>95.1</v>
      </c>
    </row>
    <row r="25" spans="1:20" x14ac:dyDescent="0.25">
      <c r="A25" s="293" t="s">
        <v>321</v>
      </c>
      <c r="B25" s="294"/>
      <c r="C25" s="294"/>
      <c r="D25" s="294"/>
      <c r="E25" s="294"/>
      <c r="F25" s="294"/>
      <c r="G25" s="289">
        <v>220</v>
      </c>
    </row>
    <row r="26" spans="1:20" x14ac:dyDescent="0.25">
      <c r="A26" s="293" t="s">
        <v>322</v>
      </c>
      <c r="B26" s="294"/>
      <c r="C26" s="294"/>
      <c r="D26" s="294"/>
      <c r="E26" s="294"/>
      <c r="F26" s="294"/>
      <c r="G26" s="295">
        <f>G24/G25</f>
        <v>0.43227272727272725</v>
      </c>
    </row>
    <row r="28" spans="1:20" x14ac:dyDescent="0.25">
      <c r="A28" s="287" t="s">
        <v>346</v>
      </c>
    </row>
    <row r="29" spans="1:20" x14ac:dyDescent="0.25">
      <c r="A29" s="290" t="s">
        <v>320</v>
      </c>
      <c r="B29" s="291"/>
      <c r="C29" s="291"/>
      <c r="D29" s="291"/>
      <c r="E29" s="291"/>
      <c r="F29" s="291"/>
      <c r="G29" s="335">
        <v>6.83</v>
      </c>
    </row>
    <row r="30" spans="1:20" x14ac:dyDescent="0.25">
      <c r="A30" s="290" t="s">
        <v>313</v>
      </c>
      <c r="B30" s="291"/>
      <c r="C30" s="291"/>
      <c r="D30" s="291"/>
      <c r="E30" s="291"/>
      <c r="F30" s="291"/>
      <c r="G30" s="292">
        <v>3</v>
      </c>
    </row>
    <row r="31" spans="1:20" x14ac:dyDescent="0.25">
      <c r="A31" s="290" t="s">
        <v>314</v>
      </c>
      <c r="B31" s="291"/>
      <c r="C31" s="291"/>
      <c r="D31" s="291"/>
      <c r="E31" s="291"/>
      <c r="F31" s="291"/>
      <c r="G31" s="335">
        <f>G29*G30</f>
        <v>20.490000000000002</v>
      </c>
    </row>
    <row r="32" spans="1:20" x14ac:dyDescent="0.25">
      <c r="A32" s="290" t="s">
        <v>315</v>
      </c>
      <c r="B32" s="291"/>
      <c r="C32" s="291"/>
      <c r="D32" s="291"/>
      <c r="E32" s="291"/>
      <c r="F32" s="291"/>
      <c r="G32" s="292">
        <v>6</v>
      </c>
    </row>
    <row r="33" spans="1:9" x14ac:dyDescent="0.25">
      <c r="A33" s="290" t="s">
        <v>316</v>
      </c>
      <c r="B33" s="291"/>
      <c r="C33" s="291"/>
      <c r="D33" s="291"/>
      <c r="E33" s="291"/>
      <c r="F33" s="291"/>
      <c r="G33" s="292">
        <v>7</v>
      </c>
    </row>
    <row r="34" spans="1:9" x14ac:dyDescent="0.25">
      <c r="A34" s="290" t="s">
        <v>317</v>
      </c>
      <c r="B34" s="291"/>
      <c r="C34" s="291"/>
      <c r="D34" s="291"/>
      <c r="E34" s="291"/>
      <c r="F34" s="291"/>
      <c r="G34" s="299">
        <f>G31/G32</f>
        <v>3.4150000000000005</v>
      </c>
    </row>
    <row r="35" spans="1:9" x14ac:dyDescent="0.25">
      <c r="A35" s="290" t="s">
        <v>318</v>
      </c>
      <c r="B35" s="291"/>
      <c r="C35" s="291"/>
      <c r="D35" s="291"/>
      <c r="E35" s="291"/>
      <c r="F35" s="291"/>
      <c r="G35" s="292">
        <v>30</v>
      </c>
    </row>
    <row r="36" spans="1:9" x14ac:dyDescent="0.25">
      <c r="A36" s="293" t="s">
        <v>319</v>
      </c>
      <c r="B36" s="294"/>
      <c r="C36" s="294"/>
      <c r="D36" s="294"/>
      <c r="E36" s="294"/>
      <c r="F36" s="294"/>
      <c r="G36" s="301">
        <f>G34*G35</f>
        <v>102.45000000000002</v>
      </c>
    </row>
    <row r="37" spans="1:9" x14ac:dyDescent="0.25">
      <c r="A37" s="293" t="s">
        <v>321</v>
      </c>
      <c r="B37" s="294"/>
      <c r="C37" s="294"/>
      <c r="D37" s="294"/>
      <c r="E37" s="294"/>
      <c r="F37" s="294"/>
      <c r="G37" s="289">
        <v>220</v>
      </c>
    </row>
    <row r="38" spans="1:9" x14ac:dyDescent="0.25">
      <c r="A38" s="293" t="s">
        <v>322</v>
      </c>
      <c r="B38" s="294"/>
      <c r="C38" s="294"/>
      <c r="D38" s="294"/>
      <c r="E38" s="294"/>
      <c r="F38" s="294"/>
      <c r="G38" s="295">
        <f>G36/G37</f>
        <v>0.46568181818181825</v>
      </c>
    </row>
    <row r="40" spans="1:9" x14ac:dyDescent="0.25">
      <c r="A40" s="287" t="s">
        <v>420</v>
      </c>
    </row>
    <row r="41" spans="1:9" x14ac:dyDescent="0.25">
      <c r="A41" s="290" t="s">
        <v>312</v>
      </c>
      <c r="B41" s="291"/>
      <c r="C41" s="291"/>
      <c r="D41" s="291"/>
      <c r="E41" s="291"/>
      <c r="F41" s="291"/>
      <c r="G41" s="335">
        <v>6.67</v>
      </c>
    </row>
    <row r="42" spans="1:9" x14ac:dyDescent="0.25">
      <c r="A42" s="290" t="s">
        <v>313</v>
      </c>
      <c r="B42" s="291"/>
      <c r="C42" s="291"/>
      <c r="D42" s="291"/>
      <c r="E42" s="291"/>
      <c r="F42" s="291"/>
      <c r="G42" s="292">
        <v>3</v>
      </c>
    </row>
    <row r="43" spans="1:9" x14ac:dyDescent="0.25">
      <c r="A43" s="290" t="s">
        <v>314</v>
      </c>
      <c r="B43" s="291"/>
      <c r="C43" s="291"/>
      <c r="D43" s="291"/>
      <c r="E43" s="291"/>
      <c r="F43" s="291"/>
      <c r="G43" s="299">
        <f>G41*G42</f>
        <v>20.009999999999998</v>
      </c>
      <c r="I43" s="320"/>
    </row>
    <row r="44" spans="1:9" x14ac:dyDescent="0.25">
      <c r="A44" s="290" t="s">
        <v>315</v>
      </c>
      <c r="B44" s="291"/>
      <c r="C44" s="291"/>
      <c r="D44" s="291"/>
      <c r="E44" s="291"/>
      <c r="F44" s="291"/>
      <c r="G44" s="292">
        <v>6</v>
      </c>
    </row>
    <row r="45" spans="1:9" x14ac:dyDescent="0.25">
      <c r="A45" s="290" t="s">
        <v>316</v>
      </c>
      <c r="B45" s="291"/>
      <c r="C45" s="291"/>
      <c r="D45" s="291"/>
      <c r="E45" s="291"/>
      <c r="F45" s="291"/>
      <c r="G45" s="292">
        <v>7</v>
      </c>
    </row>
    <row r="46" spans="1:9" x14ac:dyDescent="0.25">
      <c r="A46" s="290" t="s">
        <v>317</v>
      </c>
      <c r="B46" s="291"/>
      <c r="C46" s="291"/>
      <c r="D46" s="291"/>
      <c r="E46" s="291"/>
      <c r="F46" s="291"/>
      <c r="G46" s="299">
        <f>G43/G44</f>
        <v>3.3349999999999995</v>
      </c>
    </row>
    <row r="47" spans="1:9" x14ac:dyDescent="0.25">
      <c r="A47" s="290" t="s">
        <v>318</v>
      </c>
      <c r="B47" s="291"/>
      <c r="C47" s="291"/>
      <c r="D47" s="291"/>
      <c r="E47" s="291"/>
      <c r="F47" s="291"/>
      <c r="G47" s="292">
        <v>30</v>
      </c>
    </row>
    <row r="48" spans="1:9" x14ac:dyDescent="0.25">
      <c r="A48" s="293" t="s">
        <v>319</v>
      </c>
      <c r="B48" s="294"/>
      <c r="C48" s="294"/>
      <c r="D48" s="294"/>
      <c r="E48" s="294"/>
      <c r="F48" s="294"/>
      <c r="G48" s="390">
        <f>G46*G47</f>
        <v>100.04999999999998</v>
      </c>
    </row>
    <row r="49" spans="1:7" x14ac:dyDescent="0.25">
      <c r="A49" s="293" t="s">
        <v>321</v>
      </c>
      <c r="B49" s="294"/>
      <c r="C49" s="294"/>
      <c r="D49" s="294"/>
      <c r="E49" s="294"/>
      <c r="F49" s="294"/>
      <c r="G49" s="289">
        <v>220</v>
      </c>
    </row>
    <row r="50" spans="1:7" x14ac:dyDescent="0.25">
      <c r="A50" s="293" t="s">
        <v>322</v>
      </c>
      <c r="B50" s="294"/>
      <c r="C50" s="294"/>
      <c r="D50" s="294"/>
      <c r="E50" s="294"/>
      <c r="F50" s="294"/>
      <c r="G50" s="295">
        <f>G48/G49</f>
        <v>0.45477272727272722</v>
      </c>
    </row>
    <row r="51" spans="1:7" x14ac:dyDescent="0.25">
      <c r="A51" s="287"/>
      <c r="B51" s="287"/>
      <c r="C51" s="287"/>
      <c r="D51" s="287"/>
      <c r="E51" s="287"/>
      <c r="F51" s="287"/>
      <c r="G51" s="338"/>
    </row>
    <row r="52" spans="1:7" x14ac:dyDescent="0.25">
      <c r="A52" s="287" t="s">
        <v>421</v>
      </c>
    </row>
    <row r="53" spans="1:7" x14ac:dyDescent="0.25">
      <c r="A53" s="391" t="s">
        <v>409</v>
      </c>
      <c r="B53" s="291"/>
      <c r="C53" s="291"/>
      <c r="D53" s="291"/>
      <c r="E53" s="291"/>
      <c r="F53" s="291"/>
      <c r="G53" s="299">
        <v>7.17</v>
      </c>
    </row>
    <row r="54" spans="1:7" x14ac:dyDescent="0.25">
      <c r="A54" s="290" t="s">
        <v>313</v>
      </c>
      <c r="B54" s="291"/>
      <c r="C54" s="291"/>
      <c r="D54" s="291"/>
      <c r="E54" s="291"/>
      <c r="F54" s="291"/>
      <c r="G54" s="292">
        <v>3</v>
      </c>
    </row>
    <row r="55" spans="1:7" x14ac:dyDescent="0.25">
      <c r="A55" s="290" t="s">
        <v>314</v>
      </c>
      <c r="B55" s="291"/>
      <c r="C55" s="291"/>
      <c r="D55" s="291"/>
      <c r="E55" s="291"/>
      <c r="F55" s="291"/>
      <c r="G55" s="299">
        <f>G53*G54</f>
        <v>21.509999999999998</v>
      </c>
    </row>
    <row r="56" spans="1:7" x14ac:dyDescent="0.25">
      <c r="A56" s="290" t="s">
        <v>315</v>
      </c>
      <c r="B56" s="291"/>
      <c r="C56" s="291"/>
      <c r="D56" s="291"/>
      <c r="E56" s="291"/>
      <c r="F56" s="291"/>
      <c r="G56" s="292">
        <v>6</v>
      </c>
    </row>
    <row r="57" spans="1:7" x14ac:dyDescent="0.25">
      <c r="A57" s="290" t="s">
        <v>316</v>
      </c>
      <c r="B57" s="291"/>
      <c r="C57" s="291"/>
      <c r="D57" s="291"/>
      <c r="E57" s="291"/>
      <c r="F57" s="291"/>
      <c r="G57" s="292">
        <v>7</v>
      </c>
    </row>
    <row r="58" spans="1:7" x14ac:dyDescent="0.25">
      <c r="A58" s="290" t="s">
        <v>317</v>
      </c>
      <c r="B58" s="291"/>
      <c r="C58" s="291"/>
      <c r="D58" s="291"/>
      <c r="E58" s="291"/>
      <c r="F58" s="291"/>
      <c r="G58" s="299">
        <f>G55/G56</f>
        <v>3.5849999999999995</v>
      </c>
    </row>
    <row r="59" spans="1:7" x14ac:dyDescent="0.25">
      <c r="A59" s="290" t="s">
        <v>318</v>
      </c>
      <c r="B59" s="291"/>
      <c r="C59" s="291"/>
      <c r="D59" s="291"/>
      <c r="E59" s="291"/>
      <c r="F59" s="291"/>
      <c r="G59" s="292">
        <v>30</v>
      </c>
    </row>
    <row r="60" spans="1:7" x14ac:dyDescent="0.25">
      <c r="A60" s="293" t="s">
        <v>319</v>
      </c>
      <c r="B60" s="294"/>
      <c r="C60" s="294"/>
      <c r="D60" s="294"/>
      <c r="E60" s="294"/>
      <c r="F60" s="294"/>
      <c r="G60" s="301">
        <f>G58*G59</f>
        <v>107.54999999999998</v>
      </c>
    </row>
    <row r="61" spans="1:7" x14ac:dyDescent="0.25">
      <c r="A61" s="293" t="s">
        <v>321</v>
      </c>
      <c r="B61" s="294"/>
      <c r="C61" s="294"/>
      <c r="D61" s="294"/>
      <c r="E61" s="294"/>
      <c r="F61" s="294"/>
      <c r="G61" s="289">
        <v>220</v>
      </c>
    </row>
    <row r="62" spans="1:7" x14ac:dyDescent="0.25">
      <c r="A62" s="293" t="s">
        <v>322</v>
      </c>
      <c r="B62" s="294"/>
      <c r="C62" s="294"/>
      <c r="D62" s="294"/>
      <c r="E62" s="294"/>
      <c r="F62" s="294"/>
      <c r="G62" s="295">
        <f>G60/G61</f>
        <v>0.48886363636363628</v>
      </c>
    </row>
    <row r="63" spans="1:7" x14ac:dyDescent="0.25">
      <c r="A63" s="287"/>
      <c r="B63" s="287"/>
      <c r="C63" s="287"/>
      <c r="D63" s="287"/>
      <c r="E63" s="287"/>
      <c r="F63" s="287"/>
      <c r="G63" s="338"/>
    </row>
  </sheetData>
  <mergeCells count="15">
    <mergeCell ref="A5:A6"/>
    <mergeCell ref="B5:B6"/>
    <mergeCell ref="C5:C6"/>
    <mergeCell ref="A13:A14"/>
    <mergeCell ref="B13:B14"/>
    <mergeCell ref="C13:C14"/>
    <mergeCell ref="A9:A10"/>
    <mergeCell ref="B9:B10"/>
    <mergeCell ref="C9:C10"/>
    <mergeCell ref="A7:A8"/>
    <mergeCell ref="B7:B8"/>
    <mergeCell ref="C7:C8"/>
    <mergeCell ref="A11:A12"/>
    <mergeCell ref="B11:B12"/>
    <mergeCell ref="C11:C12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2"/>
  <sheetViews>
    <sheetView topLeftCell="BE15" workbookViewId="0">
      <selection activeCell="BK37" activeCellId="5" sqref="BK22:BK23 BK25:BK26 BK28:BK29 BK31:BK32 BK34:BK35 BK37:BK38"/>
    </sheetView>
  </sheetViews>
  <sheetFormatPr defaultColWidth="8.85546875" defaultRowHeight="15" x14ac:dyDescent="0.25"/>
  <cols>
    <col min="1" max="1" width="4.85546875" style="567" customWidth="1"/>
    <col min="2" max="2" width="14.5703125" style="567" customWidth="1"/>
    <col min="3" max="3" width="16.7109375" style="567" customWidth="1"/>
    <col min="4" max="4" width="10.28515625" style="567" customWidth="1"/>
    <col min="5" max="5" width="9.5703125" style="567" customWidth="1"/>
    <col min="6" max="6" width="13.140625" style="567" customWidth="1"/>
    <col min="7" max="7" width="9.85546875" style="567" bestFit="1" customWidth="1"/>
    <col min="8" max="8" width="9.85546875" style="567" customWidth="1"/>
    <col min="9" max="9" width="14.5703125" style="567" customWidth="1"/>
    <col min="10" max="10" width="16.7109375" style="567" customWidth="1"/>
    <col min="11" max="11" width="10.28515625" style="567" customWidth="1"/>
    <col min="12" max="12" width="9.5703125" style="567" customWidth="1"/>
    <col min="13" max="13" width="13.140625" style="567" customWidth="1"/>
    <col min="14" max="14" width="9.85546875" style="567" bestFit="1" customWidth="1"/>
    <col min="15" max="15" width="9.140625" customWidth="1"/>
    <col min="16" max="16" width="16.7109375" style="567" customWidth="1"/>
    <col min="17" max="17" width="14.28515625" style="567" customWidth="1"/>
    <col min="18" max="18" width="8.85546875" style="567"/>
    <col min="19" max="19" width="7.140625" style="567" customWidth="1"/>
    <col min="20" max="20" width="16.7109375" style="567" customWidth="1"/>
    <col min="21" max="22" width="8.85546875" style="567"/>
    <col min="23" max="23" width="17" style="567" customWidth="1"/>
    <col min="24" max="24" width="14.28515625" style="567" customWidth="1"/>
    <col min="25" max="25" width="8.85546875" style="567"/>
    <col min="26" max="26" width="7.140625" style="567" customWidth="1"/>
    <col min="27" max="27" width="16.7109375" style="567" customWidth="1"/>
    <col min="28" max="29" width="8.85546875" style="567"/>
    <col min="30" max="30" width="16.42578125" style="567" customWidth="1"/>
    <col min="31" max="31" width="14.28515625" style="567" customWidth="1"/>
    <col min="32" max="32" width="8.85546875" style="567"/>
    <col min="33" max="33" width="7.140625" style="567" customWidth="1"/>
    <col min="34" max="34" width="16.7109375" style="567" customWidth="1"/>
    <col min="35" max="36" width="8.85546875" style="567"/>
    <col min="37" max="37" width="17.28515625" style="567" customWidth="1"/>
    <col min="38" max="38" width="14.28515625" style="567" customWidth="1"/>
    <col min="39" max="39" width="8.85546875" style="567"/>
    <col min="40" max="40" width="7.140625" style="567" customWidth="1"/>
    <col min="41" max="41" width="16.7109375" style="567" customWidth="1"/>
    <col min="42" max="42" width="8.85546875" style="567"/>
    <col min="43" max="43" width="8.85546875" style="567" customWidth="1"/>
    <col min="44" max="44" width="17" style="567" customWidth="1"/>
    <col min="45" max="45" width="15.140625" style="567" customWidth="1"/>
    <col min="46" max="46" width="8.5703125" style="567" customWidth="1"/>
    <col min="47" max="47" width="8.42578125" style="567" customWidth="1"/>
    <col min="48" max="48" width="13.140625" style="567" customWidth="1"/>
    <col min="49" max="49" width="10.140625" style="567" customWidth="1"/>
    <col min="50" max="50" width="8.85546875" style="567" customWidth="1"/>
    <col min="51" max="51" width="16.42578125" style="567" customWidth="1"/>
    <col min="52" max="52" width="15" style="567" customWidth="1"/>
    <col min="53" max="54" width="8.85546875" style="567" customWidth="1"/>
    <col min="55" max="55" width="13.5703125" style="567" customWidth="1"/>
    <col min="56" max="56" width="10.5703125" style="567" customWidth="1"/>
    <col min="57" max="57" width="8.85546875" style="567" customWidth="1"/>
    <col min="58" max="58" width="9" style="567" customWidth="1"/>
    <col min="59" max="59" width="10.140625" style="567" customWidth="1"/>
    <col min="60" max="60" width="25.5703125" style="567" customWidth="1"/>
    <col min="61" max="61" width="6.7109375" style="567" customWidth="1"/>
    <col min="62" max="62" width="5.85546875" style="567" customWidth="1"/>
    <col min="63" max="63" width="15.5703125" style="567" customWidth="1"/>
    <col min="64" max="64" width="4.85546875" style="567" bestFit="1" customWidth="1"/>
    <col min="65" max="67" width="8.85546875" style="567"/>
    <col min="68" max="68" width="17.140625" style="567" customWidth="1"/>
    <col min="69" max="69" width="7.28515625" style="567" customWidth="1"/>
    <col min="70" max="70" width="5.7109375" style="567" customWidth="1"/>
    <col min="71" max="71" width="14.85546875" style="567" customWidth="1"/>
    <col min="72" max="16384" width="8.85546875" style="567"/>
  </cols>
  <sheetData>
    <row r="1" spans="1:73" ht="15.75" customHeight="1" thickBot="1" x14ac:dyDescent="0.3"/>
    <row r="2" spans="1:73" ht="15.75" thickBot="1" x14ac:dyDescent="0.3">
      <c r="B2" s="693" t="s">
        <v>454</v>
      </c>
      <c r="C2" s="694"/>
      <c r="D2" s="694"/>
      <c r="E2" s="694"/>
      <c r="F2" s="694"/>
      <c r="G2" s="695"/>
      <c r="H2" s="430"/>
      <c r="I2" s="693" t="s">
        <v>459</v>
      </c>
      <c r="J2" s="694"/>
      <c r="K2" s="694"/>
      <c r="L2" s="694"/>
      <c r="M2" s="694"/>
      <c r="N2" s="695"/>
      <c r="P2" s="693" t="s">
        <v>455</v>
      </c>
      <c r="Q2" s="694"/>
      <c r="R2" s="694"/>
      <c r="S2" s="694"/>
      <c r="T2" s="694"/>
      <c r="U2" s="695"/>
      <c r="W2" s="693" t="s">
        <v>456</v>
      </c>
      <c r="X2" s="694"/>
      <c r="Y2" s="694"/>
      <c r="Z2" s="694"/>
      <c r="AA2" s="694"/>
      <c r="AB2" s="695"/>
      <c r="AC2" s="430"/>
      <c r="AD2" s="693" t="s">
        <v>457</v>
      </c>
      <c r="AE2" s="694"/>
      <c r="AF2" s="694"/>
      <c r="AG2" s="694"/>
      <c r="AH2" s="694"/>
      <c r="AI2" s="695"/>
      <c r="AK2" s="693" t="s">
        <v>458</v>
      </c>
      <c r="AL2" s="694"/>
      <c r="AM2" s="694"/>
      <c r="AN2" s="694"/>
      <c r="AO2" s="694"/>
      <c r="AP2" s="695"/>
      <c r="AQ2" s="568"/>
      <c r="AR2" s="693" t="s">
        <v>553</v>
      </c>
      <c r="AS2" s="694"/>
      <c r="AT2" s="694"/>
      <c r="AU2" s="694"/>
      <c r="AV2" s="694"/>
      <c r="AW2" s="695"/>
      <c r="AX2" s="568"/>
      <c r="AY2" s="693" t="s">
        <v>555</v>
      </c>
      <c r="AZ2" s="694"/>
      <c r="BA2" s="694"/>
      <c r="BB2" s="694"/>
      <c r="BC2" s="694"/>
      <c r="BD2" s="695"/>
      <c r="BE2" s="568"/>
      <c r="BF2" s="752" t="s">
        <v>372</v>
      </c>
      <c r="BG2" s="753"/>
      <c r="BH2" s="753"/>
      <c r="BI2" s="753"/>
      <c r="BJ2" s="753"/>
      <c r="BK2" s="753"/>
      <c r="BL2" s="754"/>
      <c r="BN2" s="755" t="s">
        <v>469</v>
      </c>
      <c r="BO2" s="756"/>
      <c r="BP2" s="756"/>
      <c r="BQ2" s="756"/>
      <c r="BR2" s="756"/>
      <c r="BS2" s="756"/>
      <c r="BT2" s="757"/>
    </row>
    <row r="3" spans="1:73" ht="15.75" customHeight="1" thickBot="1" x14ac:dyDescent="0.3">
      <c r="B3" s="758" t="s">
        <v>474</v>
      </c>
      <c r="C3" s="701"/>
      <c r="D3" s="701"/>
      <c r="E3" s="701"/>
      <c r="F3" s="701"/>
      <c r="G3" s="702"/>
      <c r="H3" s="114"/>
      <c r="I3" s="758" t="s">
        <v>475</v>
      </c>
      <c r="J3" s="701"/>
      <c r="K3" s="701"/>
      <c r="L3" s="701"/>
      <c r="M3" s="701"/>
      <c r="N3" s="702"/>
      <c r="P3" s="758" t="s">
        <v>476</v>
      </c>
      <c r="Q3" s="701"/>
      <c r="R3" s="701"/>
      <c r="S3" s="701"/>
      <c r="T3" s="701"/>
      <c r="U3" s="702"/>
      <c r="W3" s="758" t="s">
        <v>558</v>
      </c>
      <c r="X3" s="701"/>
      <c r="Y3" s="701"/>
      <c r="Z3" s="701"/>
      <c r="AA3" s="701"/>
      <c r="AB3" s="702"/>
      <c r="AC3" s="114"/>
      <c r="AD3" s="758" t="s">
        <v>478</v>
      </c>
      <c r="AE3" s="701"/>
      <c r="AF3" s="701"/>
      <c r="AG3" s="701"/>
      <c r="AH3" s="701"/>
      <c r="AI3" s="702"/>
      <c r="AK3" s="758" t="s">
        <v>479</v>
      </c>
      <c r="AL3" s="701"/>
      <c r="AM3" s="701"/>
      <c r="AN3" s="701"/>
      <c r="AO3" s="701"/>
      <c r="AP3" s="702"/>
      <c r="AQ3" s="568"/>
      <c r="AR3" s="758" t="s">
        <v>557</v>
      </c>
      <c r="AS3" s="701"/>
      <c r="AT3" s="701"/>
      <c r="AU3" s="701"/>
      <c r="AV3" s="701"/>
      <c r="AW3" s="702"/>
      <c r="AX3" s="568"/>
      <c r="AY3" s="758" t="s">
        <v>477</v>
      </c>
      <c r="AZ3" s="701"/>
      <c r="BA3" s="701"/>
      <c r="BB3" s="701"/>
      <c r="BC3" s="701"/>
      <c r="BD3" s="702"/>
      <c r="BE3" s="568"/>
      <c r="BF3" s="759"/>
      <c r="BG3" s="760"/>
      <c r="BH3" s="760"/>
      <c r="BI3" s="760"/>
      <c r="BJ3" s="760"/>
      <c r="BK3" s="760"/>
      <c r="BL3" s="761"/>
      <c r="BN3" s="762" t="s">
        <v>446</v>
      </c>
      <c r="BO3" s="763"/>
      <c r="BP3" s="763"/>
      <c r="BQ3" s="763" t="s">
        <v>447</v>
      </c>
      <c r="BR3" s="763"/>
      <c r="BS3" s="565" t="s">
        <v>323</v>
      </c>
      <c r="BT3" s="434" t="s">
        <v>65</v>
      </c>
    </row>
    <row r="4" spans="1:73" ht="15" customHeight="1" thickBot="1" x14ac:dyDescent="0.3">
      <c r="A4" s="568"/>
      <c r="B4" s="407" t="s">
        <v>341</v>
      </c>
      <c r="C4" s="408" t="s">
        <v>438</v>
      </c>
      <c r="D4" s="741" t="s">
        <v>325</v>
      </c>
      <c r="E4" s="742"/>
      <c r="F4" s="408" t="s">
        <v>323</v>
      </c>
      <c r="G4" s="409" t="s">
        <v>251</v>
      </c>
      <c r="H4" s="114"/>
      <c r="I4" s="407" t="s">
        <v>341</v>
      </c>
      <c r="J4" s="408" t="s">
        <v>438</v>
      </c>
      <c r="K4" s="741" t="s">
        <v>325</v>
      </c>
      <c r="L4" s="742"/>
      <c r="M4" s="408" t="s">
        <v>323</v>
      </c>
      <c r="N4" s="409" t="s">
        <v>251</v>
      </c>
      <c r="P4" s="407" t="s">
        <v>341</v>
      </c>
      <c r="Q4" s="408" t="s">
        <v>438</v>
      </c>
      <c r="R4" s="741" t="s">
        <v>325</v>
      </c>
      <c r="S4" s="742"/>
      <c r="T4" s="408" t="s">
        <v>323</v>
      </c>
      <c r="U4" s="409" t="s">
        <v>251</v>
      </c>
      <c r="W4" s="407" t="s">
        <v>341</v>
      </c>
      <c r="X4" s="408" t="s">
        <v>438</v>
      </c>
      <c r="Y4" s="741" t="s">
        <v>325</v>
      </c>
      <c r="Z4" s="742"/>
      <c r="AA4" s="408" t="s">
        <v>323</v>
      </c>
      <c r="AB4" s="409" t="s">
        <v>251</v>
      </c>
      <c r="AC4" s="114"/>
      <c r="AD4" s="407" t="s">
        <v>341</v>
      </c>
      <c r="AE4" s="408" t="s">
        <v>438</v>
      </c>
      <c r="AF4" s="741" t="s">
        <v>325</v>
      </c>
      <c r="AG4" s="742"/>
      <c r="AH4" s="408" t="s">
        <v>323</v>
      </c>
      <c r="AI4" s="409" t="s">
        <v>251</v>
      </c>
      <c r="AK4" s="407" t="s">
        <v>341</v>
      </c>
      <c r="AL4" s="408" t="s">
        <v>438</v>
      </c>
      <c r="AM4" s="741" t="s">
        <v>325</v>
      </c>
      <c r="AN4" s="742"/>
      <c r="AO4" s="408" t="s">
        <v>323</v>
      </c>
      <c r="AP4" s="409" t="s">
        <v>251</v>
      </c>
      <c r="AQ4" s="568"/>
      <c r="AR4" s="407" t="s">
        <v>341</v>
      </c>
      <c r="AS4" s="408" t="s">
        <v>438</v>
      </c>
      <c r="AT4" s="741" t="s">
        <v>325</v>
      </c>
      <c r="AU4" s="742"/>
      <c r="AV4" s="408" t="s">
        <v>323</v>
      </c>
      <c r="AW4" s="409" t="s">
        <v>251</v>
      </c>
      <c r="AX4" s="568"/>
      <c r="AY4" s="407" t="s">
        <v>341</v>
      </c>
      <c r="AZ4" s="408" t="s">
        <v>438</v>
      </c>
      <c r="BA4" s="741" t="s">
        <v>325</v>
      </c>
      <c r="BB4" s="742"/>
      <c r="BC4" s="408" t="s">
        <v>323</v>
      </c>
      <c r="BD4" s="409" t="s">
        <v>251</v>
      </c>
      <c r="BE4" s="568"/>
      <c r="BF4" s="743" t="s">
        <v>357</v>
      </c>
      <c r="BG4" s="744"/>
      <c r="BH4" s="744"/>
      <c r="BI4" s="744"/>
      <c r="BJ4" s="744"/>
      <c r="BK4" s="744"/>
      <c r="BL4" s="745"/>
      <c r="BN4" s="746" t="s">
        <v>448</v>
      </c>
      <c r="BO4" s="710"/>
      <c r="BP4" s="710"/>
      <c r="BQ4" s="747" t="s">
        <v>449</v>
      </c>
      <c r="BR4" s="747"/>
      <c r="BS4" s="313">
        <v>100</v>
      </c>
      <c r="BT4" s="394" t="s">
        <v>18</v>
      </c>
      <c r="BU4" s="569"/>
    </row>
    <row r="5" spans="1:73" x14ac:dyDescent="0.25">
      <c r="A5" s="568"/>
      <c r="B5" s="392" t="s">
        <v>327</v>
      </c>
      <c r="C5" s="566"/>
      <c r="D5" s="726" t="s">
        <v>328</v>
      </c>
      <c r="E5" s="725"/>
      <c r="F5" s="393">
        <v>10408.44</v>
      </c>
      <c r="G5" s="423" t="s">
        <v>326</v>
      </c>
      <c r="H5" s="431"/>
      <c r="I5" s="392" t="s">
        <v>327</v>
      </c>
      <c r="J5" s="566"/>
      <c r="K5" s="726" t="s">
        <v>328</v>
      </c>
      <c r="L5" s="725"/>
      <c r="M5" s="393">
        <v>16464.72</v>
      </c>
      <c r="N5" s="423" t="s">
        <v>326</v>
      </c>
      <c r="P5" s="392" t="s">
        <v>327</v>
      </c>
      <c r="Q5" s="566"/>
      <c r="R5" s="726" t="s">
        <v>328</v>
      </c>
      <c r="S5" s="725"/>
      <c r="T5" s="393">
        <v>6816.64</v>
      </c>
      <c r="U5" s="423" t="s">
        <v>326</v>
      </c>
      <c r="W5" s="392" t="s">
        <v>327</v>
      </c>
      <c r="X5" s="566"/>
      <c r="Y5" s="726" t="s">
        <v>328</v>
      </c>
      <c r="Z5" s="725"/>
      <c r="AA5" s="393">
        <v>5579.15</v>
      </c>
      <c r="AB5" s="423" t="s">
        <v>326</v>
      </c>
      <c r="AC5" s="431"/>
      <c r="AD5" s="392" t="s">
        <v>327</v>
      </c>
      <c r="AE5" s="566"/>
      <c r="AF5" s="726" t="s">
        <v>328</v>
      </c>
      <c r="AG5" s="725"/>
      <c r="AH5" s="393">
        <v>6117.66</v>
      </c>
      <c r="AI5" s="423" t="s">
        <v>326</v>
      </c>
      <c r="AK5" s="392" t="s">
        <v>327</v>
      </c>
      <c r="AL5" s="566"/>
      <c r="AM5" s="726" t="s">
        <v>328</v>
      </c>
      <c r="AN5" s="725"/>
      <c r="AO5" s="393">
        <v>3911.23</v>
      </c>
      <c r="AP5" s="423" t="s">
        <v>326</v>
      </c>
      <c r="AQ5" s="568"/>
      <c r="AR5" s="392" t="s">
        <v>327</v>
      </c>
      <c r="AS5" s="566"/>
      <c r="AT5" s="726" t="s">
        <v>328</v>
      </c>
      <c r="AU5" s="725"/>
      <c r="AV5" s="393">
        <v>5221.7299999999996</v>
      </c>
      <c r="AW5" s="423" t="s">
        <v>326</v>
      </c>
      <c r="AX5" s="568"/>
      <c r="AY5" s="392" t="s">
        <v>327</v>
      </c>
      <c r="AZ5" s="566"/>
      <c r="BA5" s="726" t="s">
        <v>328</v>
      </c>
      <c r="BB5" s="725"/>
      <c r="BC5" s="393">
        <v>4961.47</v>
      </c>
      <c r="BD5" s="423" t="s">
        <v>326</v>
      </c>
      <c r="BE5" s="568"/>
      <c r="BF5" s="706" t="s">
        <v>358</v>
      </c>
      <c r="BG5" s="748" t="s">
        <v>415</v>
      </c>
      <c r="BH5" s="709" t="s">
        <v>339</v>
      </c>
      <c r="BI5" s="709" t="s">
        <v>340</v>
      </c>
      <c r="BJ5" s="709"/>
      <c r="BK5" s="709" t="s">
        <v>468</v>
      </c>
      <c r="BL5" s="711" t="s">
        <v>324</v>
      </c>
      <c r="BM5" s="568"/>
      <c r="BN5" s="746"/>
      <c r="BO5" s="710"/>
      <c r="BP5" s="710"/>
      <c r="BQ5" s="747" t="s">
        <v>450</v>
      </c>
      <c r="BR5" s="747"/>
      <c r="BS5" s="313">
        <v>100</v>
      </c>
      <c r="BT5" s="394" t="s">
        <v>18</v>
      </c>
    </row>
    <row r="6" spans="1:73" ht="15.75" thickBot="1" x14ac:dyDescent="0.3">
      <c r="B6" s="392" t="s">
        <v>329</v>
      </c>
      <c r="C6" s="566"/>
      <c r="D6" s="726" t="s">
        <v>330</v>
      </c>
      <c r="E6" s="725"/>
      <c r="F6" s="393">
        <v>5892.06</v>
      </c>
      <c r="G6" s="423" t="s">
        <v>326</v>
      </c>
      <c r="H6" s="431"/>
      <c r="I6" s="392" t="s">
        <v>329</v>
      </c>
      <c r="J6" s="566"/>
      <c r="K6" s="726" t="s">
        <v>330</v>
      </c>
      <c r="L6" s="725"/>
      <c r="M6" s="393">
        <v>5892.06</v>
      </c>
      <c r="N6" s="423" t="s">
        <v>326</v>
      </c>
      <c r="P6" s="392" t="s">
        <v>329</v>
      </c>
      <c r="Q6" s="566"/>
      <c r="R6" s="726" t="s">
        <v>330</v>
      </c>
      <c r="S6" s="725"/>
      <c r="T6" s="393">
        <v>5699.26</v>
      </c>
      <c r="U6" s="423" t="s">
        <v>326</v>
      </c>
      <c r="W6" s="392" t="s">
        <v>329</v>
      </c>
      <c r="X6" s="566"/>
      <c r="Y6" s="726" t="s">
        <v>330</v>
      </c>
      <c r="Z6" s="725"/>
      <c r="AA6" s="393">
        <v>4266.4799999999996</v>
      </c>
      <c r="AB6" s="423" t="s">
        <v>326</v>
      </c>
      <c r="AC6" s="431"/>
      <c r="AD6" s="392" t="s">
        <v>329</v>
      </c>
      <c r="AE6" s="566"/>
      <c r="AF6" s="726" t="s">
        <v>330</v>
      </c>
      <c r="AG6" s="725"/>
      <c r="AH6" s="393">
        <v>7475.64</v>
      </c>
      <c r="AI6" s="423" t="s">
        <v>326</v>
      </c>
      <c r="AK6" s="392" t="s">
        <v>329</v>
      </c>
      <c r="AL6" s="566"/>
      <c r="AM6" s="726" t="s">
        <v>330</v>
      </c>
      <c r="AN6" s="725"/>
      <c r="AO6" s="393">
        <v>5329.76</v>
      </c>
      <c r="AP6" s="423" t="s">
        <v>326</v>
      </c>
      <c r="AQ6" s="414"/>
      <c r="AR6" s="392" t="s">
        <v>329</v>
      </c>
      <c r="AS6" s="566"/>
      <c r="AT6" s="726" t="s">
        <v>330</v>
      </c>
      <c r="AU6" s="725"/>
      <c r="AV6" s="393">
        <v>3168.26</v>
      </c>
      <c r="AW6" s="423" t="s">
        <v>326</v>
      </c>
      <c r="AX6" s="414"/>
      <c r="AY6" s="392" t="s">
        <v>329</v>
      </c>
      <c r="AZ6" s="566"/>
      <c r="BA6" s="726" t="s">
        <v>330</v>
      </c>
      <c r="BB6" s="725"/>
      <c r="BC6" s="393">
        <v>9318.9500000000007</v>
      </c>
      <c r="BD6" s="423" t="s">
        <v>326</v>
      </c>
      <c r="BE6" s="414"/>
      <c r="BF6" s="707"/>
      <c r="BG6" s="749"/>
      <c r="BH6" s="710"/>
      <c r="BI6" s="740"/>
      <c r="BJ6" s="740"/>
      <c r="BK6" s="710"/>
      <c r="BL6" s="712"/>
      <c r="BM6" s="568"/>
      <c r="BN6" s="750" t="s">
        <v>451</v>
      </c>
      <c r="BO6" s="751"/>
      <c r="BP6" s="751"/>
      <c r="BQ6" s="751"/>
      <c r="BR6" s="751"/>
      <c r="BS6" s="435">
        <f>SUM(BS4:BS5)</f>
        <v>200</v>
      </c>
      <c r="BT6" s="436" t="s">
        <v>18</v>
      </c>
    </row>
    <row r="7" spans="1:73" ht="15.75" thickBot="1" x14ac:dyDescent="0.3">
      <c r="B7" s="392" t="s">
        <v>331</v>
      </c>
      <c r="C7" s="566"/>
      <c r="D7" s="726" t="s">
        <v>332</v>
      </c>
      <c r="E7" s="725"/>
      <c r="F7" s="393">
        <v>11537.49</v>
      </c>
      <c r="G7" s="423" t="s">
        <v>326</v>
      </c>
      <c r="H7" s="431"/>
      <c r="I7" s="392" t="s">
        <v>331</v>
      </c>
      <c r="J7" s="566"/>
      <c r="K7" s="726" t="s">
        <v>332</v>
      </c>
      <c r="L7" s="725"/>
      <c r="M7" s="393">
        <v>11537.49</v>
      </c>
      <c r="N7" s="423" t="s">
        <v>326</v>
      </c>
      <c r="P7" s="392" t="s">
        <v>331</v>
      </c>
      <c r="Q7" s="566"/>
      <c r="R7" s="726" t="s">
        <v>332</v>
      </c>
      <c r="S7" s="725"/>
      <c r="T7" s="393">
        <v>5595.07</v>
      </c>
      <c r="U7" s="423" t="s">
        <v>326</v>
      </c>
      <c r="W7" s="392" t="s">
        <v>331</v>
      </c>
      <c r="X7" s="566"/>
      <c r="Y7" s="726" t="s">
        <v>332</v>
      </c>
      <c r="Z7" s="725"/>
      <c r="AA7" s="393">
        <v>7696.72</v>
      </c>
      <c r="AB7" s="423" t="s">
        <v>326</v>
      </c>
      <c r="AC7" s="431"/>
      <c r="AD7" s="392" t="s">
        <v>331</v>
      </c>
      <c r="AE7" s="566"/>
      <c r="AF7" s="726" t="s">
        <v>332</v>
      </c>
      <c r="AG7" s="725"/>
      <c r="AH7" s="393">
        <v>5682.35</v>
      </c>
      <c r="AI7" s="423" t="s">
        <v>326</v>
      </c>
      <c r="AK7" s="392" t="s">
        <v>331</v>
      </c>
      <c r="AL7" s="566"/>
      <c r="AM7" s="726" t="s">
        <v>332</v>
      </c>
      <c r="AN7" s="725"/>
      <c r="AO7" s="393">
        <v>5080.3599999999997</v>
      </c>
      <c r="AP7" s="423" t="s">
        <v>326</v>
      </c>
      <c r="AR7" s="392" t="s">
        <v>331</v>
      </c>
      <c r="AS7" s="566"/>
      <c r="AT7" s="726" t="s">
        <v>332</v>
      </c>
      <c r="AU7" s="725"/>
      <c r="AV7" s="393">
        <v>4673.92</v>
      </c>
      <c r="AW7" s="423" t="s">
        <v>326</v>
      </c>
      <c r="AY7" s="392" t="s">
        <v>331</v>
      </c>
      <c r="AZ7" s="566"/>
      <c r="BA7" s="726" t="s">
        <v>332</v>
      </c>
      <c r="BB7" s="725"/>
      <c r="BC7" s="393">
        <v>8427.59</v>
      </c>
      <c r="BD7" s="423" t="s">
        <v>326</v>
      </c>
      <c r="BF7" s="563" t="s">
        <v>359</v>
      </c>
      <c r="BG7" s="561" t="s">
        <v>376</v>
      </c>
      <c r="BH7" s="396" t="s">
        <v>464</v>
      </c>
      <c r="BI7" s="397">
        <v>2</v>
      </c>
      <c r="BJ7" s="398" t="s">
        <v>342</v>
      </c>
      <c r="BK7" s="399">
        <f>F23</f>
        <v>78.278589999999994</v>
      </c>
      <c r="BL7" s="400" t="s">
        <v>18</v>
      </c>
      <c r="BN7" s="735"/>
      <c r="BO7" s="736"/>
      <c r="BP7" s="736"/>
      <c r="BQ7" s="736"/>
      <c r="BR7" s="736"/>
      <c r="BS7" s="736"/>
      <c r="BT7" s="737"/>
    </row>
    <row r="8" spans="1:73" ht="15.75" thickBot="1" x14ac:dyDescent="0.3">
      <c r="B8" s="392" t="s">
        <v>333</v>
      </c>
      <c r="C8" s="566"/>
      <c r="D8" s="726" t="s">
        <v>334</v>
      </c>
      <c r="E8" s="725"/>
      <c r="F8" s="393">
        <v>8680.4</v>
      </c>
      <c r="G8" s="423" t="s">
        <v>326</v>
      </c>
      <c r="H8" s="431"/>
      <c r="I8" s="392" t="s">
        <v>333</v>
      </c>
      <c r="J8" s="566"/>
      <c r="K8" s="726" t="s">
        <v>334</v>
      </c>
      <c r="L8" s="725"/>
      <c r="M8" s="393">
        <v>4443.12</v>
      </c>
      <c r="N8" s="423" t="s">
        <v>326</v>
      </c>
      <c r="P8" s="392" t="s">
        <v>333</v>
      </c>
      <c r="Q8" s="566"/>
      <c r="R8" s="726" t="s">
        <v>334</v>
      </c>
      <c r="S8" s="725"/>
      <c r="T8" s="393">
        <v>6440.34</v>
      </c>
      <c r="U8" s="423" t="s">
        <v>326</v>
      </c>
      <c r="W8" s="392" t="s">
        <v>333</v>
      </c>
      <c r="X8" s="566"/>
      <c r="Y8" s="726" t="s">
        <v>334</v>
      </c>
      <c r="Z8" s="725"/>
      <c r="AA8" s="393">
        <v>5628.19</v>
      </c>
      <c r="AB8" s="423" t="s">
        <v>326</v>
      </c>
      <c r="AC8" s="431"/>
      <c r="AD8" s="392" t="s">
        <v>333</v>
      </c>
      <c r="AE8" s="566"/>
      <c r="AF8" s="726" t="s">
        <v>334</v>
      </c>
      <c r="AG8" s="725"/>
      <c r="AH8" s="393">
        <v>7313.82</v>
      </c>
      <c r="AI8" s="423" t="s">
        <v>326</v>
      </c>
      <c r="AK8" s="392" t="s">
        <v>333</v>
      </c>
      <c r="AL8" s="566"/>
      <c r="AM8" s="726" t="s">
        <v>334</v>
      </c>
      <c r="AN8" s="725"/>
      <c r="AO8" s="393">
        <v>6103.52</v>
      </c>
      <c r="AP8" s="423" t="s">
        <v>326</v>
      </c>
      <c r="AR8" s="392" t="s">
        <v>333</v>
      </c>
      <c r="AS8" s="566"/>
      <c r="AT8" s="726" t="s">
        <v>334</v>
      </c>
      <c r="AU8" s="725"/>
      <c r="AV8" s="393">
        <v>4117.84</v>
      </c>
      <c r="AW8" s="423" t="s">
        <v>326</v>
      </c>
      <c r="AY8" s="392" t="s">
        <v>333</v>
      </c>
      <c r="AZ8" s="566"/>
      <c r="BA8" s="726" t="s">
        <v>334</v>
      </c>
      <c r="BB8" s="725"/>
      <c r="BC8" s="393">
        <v>4528.2299999999996</v>
      </c>
      <c r="BD8" s="423" t="s">
        <v>326</v>
      </c>
      <c r="BF8" s="660"/>
      <c r="BG8" s="661"/>
      <c r="BH8" s="661"/>
      <c r="BI8" s="661"/>
      <c r="BJ8" s="661"/>
      <c r="BK8" s="661"/>
      <c r="BL8" s="662"/>
      <c r="BN8" s="738" t="s">
        <v>452</v>
      </c>
      <c r="BO8" s="739"/>
      <c r="BP8" s="739"/>
      <c r="BQ8" s="739"/>
      <c r="BR8" s="739"/>
      <c r="BS8" s="570">
        <v>6</v>
      </c>
      <c r="BT8" s="571" t="s">
        <v>10</v>
      </c>
    </row>
    <row r="9" spans="1:73" ht="15.75" thickBot="1" x14ac:dyDescent="0.3">
      <c r="B9" s="392" t="s">
        <v>335</v>
      </c>
      <c r="C9" s="566"/>
      <c r="D9" s="726" t="s">
        <v>336</v>
      </c>
      <c r="E9" s="725"/>
      <c r="F9" s="393">
        <v>6407.28</v>
      </c>
      <c r="G9" s="423" t="s">
        <v>326</v>
      </c>
      <c r="H9" s="431"/>
      <c r="I9" s="392" t="s">
        <v>335</v>
      </c>
      <c r="J9" s="566"/>
      <c r="K9" s="726" t="s">
        <v>336</v>
      </c>
      <c r="L9" s="725"/>
      <c r="M9" s="393">
        <v>8836.59</v>
      </c>
      <c r="N9" s="423" t="s">
        <v>326</v>
      </c>
      <c r="P9" s="392" t="s">
        <v>335</v>
      </c>
      <c r="Q9" s="566"/>
      <c r="R9" s="726" t="s">
        <v>336</v>
      </c>
      <c r="S9" s="725"/>
      <c r="T9" s="393">
        <v>5225.83</v>
      </c>
      <c r="U9" s="423" t="s">
        <v>326</v>
      </c>
      <c r="W9" s="392" t="s">
        <v>335</v>
      </c>
      <c r="X9" s="566"/>
      <c r="Y9" s="726" t="s">
        <v>336</v>
      </c>
      <c r="Z9" s="725"/>
      <c r="AA9" s="393">
        <v>6047.2</v>
      </c>
      <c r="AB9" s="423" t="s">
        <v>326</v>
      </c>
      <c r="AC9" s="431"/>
      <c r="AD9" s="392" t="s">
        <v>335</v>
      </c>
      <c r="AE9" s="566"/>
      <c r="AF9" s="726" t="s">
        <v>336</v>
      </c>
      <c r="AG9" s="725"/>
      <c r="AH9" s="393">
        <v>5576.5</v>
      </c>
      <c r="AI9" s="423" t="s">
        <v>326</v>
      </c>
      <c r="AK9" s="392" t="s">
        <v>335</v>
      </c>
      <c r="AL9" s="566"/>
      <c r="AM9" s="726" t="s">
        <v>336</v>
      </c>
      <c r="AN9" s="725"/>
      <c r="AO9" s="393">
        <v>7213.75</v>
      </c>
      <c r="AP9" s="423" t="s">
        <v>326</v>
      </c>
      <c r="AR9" s="392" t="s">
        <v>335</v>
      </c>
      <c r="AS9" s="566"/>
      <c r="AT9" s="726" t="s">
        <v>336</v>
      </c>
      <c r="AU9" s="725"/>
      <c r="AV9" s="393">
        <v>4445</v>
      </c>
      <c r="AW9" s="423" t="s">
        <v>326</v>
      </c>
      <c r="AY9" s="392" t="s">
        <v>335</v>
      </c>
      <c r="AZ9" s="566"/>
      <c r="BA9" s="726" t="s">
        <v>336</v>
      </c>
      <c r="BB9" s="725"/>
      <c r="BC9" s="393">
        <v>8060.62</v>
      </c>
      <c r="BD9" s="423" t="s">
        <v>326</v>
      </c>
      <c r="BF9" s="563" t="s">
        <v>414</v>
      </c>
      <c r="BG9" s="561" t="s">
        <v>376</v>
      </c>
      <c r="BH9" s="396" t="s">
        <v>465</v>
      </c>
      <c r="BI9" s="397">
        <v>1</v>
      </c>
      <c r="BJ9" s="398" t="s">
        <v>342</v>
      </c>
      <c r="BK9" s="399">
        <f>M24</f>
        <v>108.33692000000001</v>
      </c>
      <c r="BL9" s="400" t="s">
        <v>18</v>
      </c>
      <c r="BN9" s="732"/>
      <c r="BO9" s="733"/>
      <c r="BP9" s="733"/>
      <c r="BQ9" s="733"/>
      <c r="BR9" s="733"/>
      <c r="BS9" s="733"/>
      <c r="BT9" s="734"/>
    </row>
    <row r="10" spans="1:73" ht="15.75" thickBot="1" x14ac:dyDescent="0.3">
      <c r="B10" s="392" t="s">
        <v>337</v>
      </c>
      <c r="C10" s="566"/>
      <c r="D10" s="726" t="s">
        <v>338</v>
      </c>
      <c r="E10" s="725"/>
      <c r="F10" s="393">
        <v>6210.36</v>
      </c>
      <c r="G10" s="423" t="s">
        <v>326</v>
      </c>
      <c r="H10" s="432"/>
      <c r="I10" s="392" t="s">
        <v>337</v>
      </c>
      <c r="J10" s="566"/>
      <c r="K10" s="726" t="s">
        <v>338</v>
      </c>
      <c r="L10" s="725"/>
      <c r="M10" s="393">
        <v>7835.15</v>
      </c>
      <c r="N10" s="423" t="s">
        <v>326</v>
      </c>
      <c r="P10" s="392" t="s">
        <v>337</v>
      </c>
      <c r="Q10" s="566"/>
      <c r="R10" s="726" t="s">
        <v>338</v>
      </c>
      <c r="S10" s="725"/>
      <c r="T10" s="393">
        <v>4557.34</v>
      </c>
      <c r="U10" s="423" t="s">
        <v>326</v>
      </c>
      <c r="W10" s="392" t="s">
        <v>337</v>
      </c>
      <c r="X10" s="566"/>
      <c r="Y10" s="726" t="s">
        <v>338</v>
      </c>
      <c r="Z10" s="725"/>
      <c r="AA10" s="393">
        <v>7248.95</v>
      </c>
      <c r="AB10" s="423" t="s">
        <v>326</v>
      </c>
      <c r="AC10" s="431"/>
      <c r="AD10" s="392" t="s">
        <v>337</v>
      </c>
      <c r="AE10" s="566"/>
      <c r="AF10" s="726" t="s">
        <v>338</v>
      </c>
      <c r="AG10" s="725"/>
      <c r="AH10" s="393">
        <v>8300.52</v>
      </c>
      <c r="AI10" s="423" t="s">
        <v>326</v>
      </c>
      <c r="AK10" s="392" t="s">
        <v>337</v>
      </c>
      <c r="AL10" s="566"/>
      <c r="AM10" s="726" t="s">
        <v>338</v>
      </c>
      <c r="AN10" s="725"/>
      <c r="AO10" s="393">
        <v>7119.97</v>
      </c>
      <c r="AP10" s="423" t="s">
        <v>326</v>
      </c>
      <c r="AR10" s="392" t="s">
        <v>337</v>
      </c>
      <c r="AS10" s="566"/>
      <c r="AT10" s="726" t="s">
        <v>338</v>
      </c>
      <c r="AU10" s="725"/>
      <c r="AV10" s="393">
        <v>5754.52</v>
      </c>
      <c r="AW10" s="423" t="s">
        <v>326</v>
      </c>
      <c r="AY10" s="713" t="s">
        <v>439</v>
      </c>
      <c r="AZ10" s="714"/>
      <c r="BA10" s="714"/>
      <c r="BB10" s="715"/>
      <c r="BC10" s="424">
        <f>SUM(BC5:BC9)/1000</f>
        <v>35.296860000000002</v>
      </c>
      <c r="BD10" s="425" t="s">
        <v>18</v>
      </c>
      <c r="BF10" s="660"/>
      <c r="BG10" s="661"/>
      <c r="BH10" s="661"/>
      <c r="BI10" s="661"/>
      <c r="BJ10" s="661"/>
      <c r="BK10" s="661"/>
      <c r="BL10" s="662"/>
      <c r="BN10" s="730" t="s">
        <v>453</v>
      </c>
      <c r="BO10" s="731"/>
      <c r="BP10" s="731"/>
      <c r="BQ10" s="731"/>
      <c r="BR10" s="731"/>
      <c r="BS10" s="572">
        <f>BS6*BS8</f>
        <v>1200</v>
      </c>
      <c r="BT10" s="573" t="s">
        <v>344</v>
      </c>
    </row>
    <row r="11" spans="1:73" ht="15.75" thickBot="1" x14ac:dyDescent="0.3">
      <c r="B11" s="392" t="s">
        <v>426</v>
      </c>
      <c r="C11" s="566"/>
      <c r="D11" s="726" t="s">
        <v>428</v>
      </c>
      <c r="E11" s="725"/>
      <c r="F11" s="393">
        <v>5342.56</v>
      </c>
      <c r="G11" s="423" t="s">
        <v>326</v>
      </c>
      <c r="H11" s="433"/>
      <c r="I11" s="392" t="s">
        <v>426</v>
      </c>
      <c r="J11" s="566"/>
      <c r="K11" s="726" t="s">
        <v>428</v>
      </c>
      <c r="L11" s="725"/>
      <c r="M11" s="393">
        <v>22461.72</v>
      </c>
      <c r="N11" s="423" t="s">
        <v>326</v>
      </c>
      <c r="P11" s="713" t="s">
        <v>439</v>
      </c>
      <c r="Q11" s="714"/>
      <c r="R11" s="714"/>
      <c r="S11" s="715"/>
      <c r="T11" s="424">
        <f>SUM(T5:T10)/1000</f>
        <v>34.334479999999999</v>
      </c>
      <c r="U11" s="425" t="s">
        <v>18</v>
      </c>
      <c r="W11" s="713" t="s">
        <v>439</v>
      </c>
      <c r="X11" s="714"/>
      <c r="Y11" s="714"/>
      <c r="Z11" s="715"/>
      <c r="AA11" s="424">
        <f>SUM(AA5:AA10)/1000</f>
        <v>36.466689999999993</v>
      </c>
      <c r="AB11" s="425" t="s">
        <v>18</v>
      </c>
      <c r="AC11" s="431"/>
      <c r="AD11" s="392" t="s">
        <v>426</v>
      </c>
      <c r="AE11" s="566"/>
      <c r="AF11" s="726" t="s">
        <v>428</v>
      </c>
      <c r="AG11" s="725"/>
      <c r="AH11" s="393">
        <v>4442.72</v>
      </c>
      <c r="AI11" s="423" t="s">
        <v>326</v>
      </c>
      <c r="AK11" s="392" t="s">
        <v>426</v>
      </c>
      <c r="AL11" s="566"/>
      <c r="AM11" s="726" t="s">
        <v>428</v>
      </c>
      <c r="AN11" s="725"/>
      <c r="AO11" s="393">
        <v>5629.32</v>
      </c>
      <c r="AP11" s="423" t="s">
        <v>326</v>
      </c>
      <c r="AR11" s="713" t="s">
        <v>439</v>
      </c>
      <c r="AS11" s="714"/>
      <c r="AT11" s="714"/>
      <c r="AU11" s="715"/>
      <c r="AV11" s="424">
        <f>SUM(AV5:AV10)/1000</f>
        <v>27.381270000000001</v>
      </c>
      <c r="AW11" s="425" t="s">
        <v>18</v>
      </c>
      <c r="AY11" s="681"/>
      <c r="AZ11" s="682"/>
      <c r="BA11" s="682"/>
      <c r="BB11" s="682"/>
      <c r="BC11" s="682"/>
      <c r="BD11" s="683"/>
      <c r="BF11" s="722" t="s">
        <v>343</v>
      </c>
      <c r="BG11" s="723"/>
      <c r="BH11" s="723"/>
      <c r="BI11" s="723"/>
      <c r="BJ11" s="655"/>
      <c r="BK11" s="401">
        <f>(BK7*BI7)+(BK9*BI9)</f>
        <v>264.89409999999998</v>
      </c>
      <c r="BL11" s="402" t="s">
        <v>344</v>
      </c>
      <c r="BM11" s="574"/>
      <c r="BN11" s="575"/>
      <c r="BO11" s="575"/>
      <c r="BP11" s="575"/>
      <c r="BQ11" s="575"/>
      <c r="BR11" s="575"/>
      <c r="BS11" s="576"/>
      <c r="BT11" s="577"/>
    </row>
    <row r="12" spans="1:73" ht="15.75" thickBot="1" x14ac:dyDescent="0.3">
      <c r="B12" s="713" t="s">
        <v>439</v>
      </c>
      <c r="C12" s="714"/>
      <c r="D12" s="714"/>
      <c r="E12" s="715"/>
      <c r="F12" s="424">
        <f>SUM(F5:F11)/1000</f>
        <v>54.478589999999997</v>
      </c>
      <c r="G12" s="425" t="s">
        <v>18</v>
      </c>
      <c r="H12" s="420"/>
      <c r="I12" s="552" t="s">
        <v>427</v>
      </c>
      <c r="J12" s="114"/>
      <c r="K12" s="724" t="s">
        <v>429</v>
      </c>
      <c r="L12" s="725"/>
      <c r="M12" s="550">
        <v>10066.07</v>
      </c>
      <c r="N12" s="551" t="s">
        <v>326</v>
      </c>
      <c r="P12" s="681"/>
      <c r="Q12" s="682"/>
      <c r="R12" s="682"/>
      <c r="S12" s="682"/>
      <c r="T12" s="682"/>
      <c r="U12" s="683"/>
      <c r="W12" s="681"/>
      <c r="X12" s="682"/>
      <c r="Y12" s="682"/>
      <c r="Z12" s="682"/>
      <c r="AA12" s="682"/>
      <c r="AB12" s="683"/>
      <c r="AC12" s="431"/>
      <c r="AD12" s="392" t="s">
        <v>427</v>
      </c>
      <c r="AE12" s="566"/>
      <c r="AF12" s="726" t="s">
        <v>429</v>
      </c>
      <c r="AG12" s="725"/>
      <c r="AH12" s="393">
        <v>5864.94</v>
      </c>
      <c r="AI12" s="423" t="s">
        <v>326</v>
      </c>
      <c r="AK12" s="713" t="s">
        <v>439</v>
      </c>
      <c r="AL12" s="714"/>
      <c r="AM12" s="714"/>
      <c r="AN12" s="715"/>
      <c r="AO12" s="424">
        <f>SUM(AO5:AO11)/1000</f>
        <v>40.387909999999998</v>
      </c>
      <c r="AP12" s="425" t="s">
        <v>18</v>
      </c>
      <c r="AR12" s="681"/>
      <c r="AS12" s="682"/>
      <c r="AT12" s="682"/>
      <c r="AU12" s="682"/>
      <c r="AV12" s="682"/>
      <c r="AW12" s="683"/>
      <c r="AY12" s="426"/>
      <c r="AZ12" s="426"/>
      <c r="BA12" s="426"/>
      <c r="BB12" s="426"/>
      <c r="BC12" s="427"/>
      <c r="BD12" s="420"/>
      <c r="BF12" s="727" t="s">
        <v>345</v>
      </c>
      <c r="BG12" s="728"/>
      <c r="BH12" s="728"/>
      <c r="BI12" s="728"/>
      <c r="BJ12" s="729"/>
      <c r="BK12" s="403">
        <f>((BK11/7)*30)</f>
        <v>1135.2604285714285</v>
      </c>
      <c r="BL12" s="404" t="s">
        <v>344</v>
      </c>
    </row>
    <row r="13" spans="1:73" ht="15.75" thickBot="1" x14ac:dyDescent="0.3">
      <c r="B13" s="681"/>
      <c r="C13" s="682"/>
      <c r="D13" s="682"/>
      <c r="E13" s="682"/>
      <c r="F13" s="682"/>
      <c r="G13" s="683"/>
      <c r="H13" s="578"/>
      <c r="I13" s="713" t="s">
        <v>439</v>
      </c>
      <c r="J13" s="714"/>
      <c r="K13" s="714"/>
      <c r="L13" s="715"/>
      <c r="M13" s="424">
        <f>SUM(M5:M12)/1000</f>
        <v>87.536920000000009</v>
      </c>
      <c r="N13" s="425" t="s">
        <v>18</v>
      </c>
      <c r="P13" s="426"/>
      <c r="Q13" s="426"/>
      <c r="R13" s="426"/>
      <c r="S13" s="426"/>
      <c r="T13" s="427"/>
      <c r="U13" s="420"/>
      <c r="W13" s="426"/>
      <c r="X13" s="426"/>
      <c r="Y13" s="426"/>
      <c r="Z13" s="426"/>
      <c r="AA13" s="427"/>
      <c r="AB13" s="420"/>
      <c r="AC13" s="431"/>
      <c r="AD13" s="713" t="s">
        <v>439</v>
      </c>
      <c r="AE13" s="714"/>
      <c r="AF13" s="714"/>
      <c r="AG13" s="715"/>
      <c r="AH13" s="424">
        <f>SUM(AH5:AH12)/1000</f>
        <v>50.774150000000006</v>
      </c>
      <c r="AI13" s="425" t="s">
        <v>18</v>
      </c>
      <c r="AK13" s="681"/>
      <c r="AL13" s="682"/>
      <c r="AM13" s="682"/>
      <c r="AN13" s="682"/>
      <c r="AO13" s="682"/>
      <c r="AP13" s="683"/>
      <c r="AR13" s="426"/>
      <c r="AS13" s="426"/>
      <c r="AT13" s="426"/>
      <c r="AU13" s="426"/>
      <c r="AV13" s="427"/>
      <c r="AW13" s="420"/>
      <c r="AY13" s="703" t="s">
        <v>440</v>
      </c>
      <c r="AZ13" s="704"/>
      <c r="BA13" s="704"/>
      <c r="BB13" s="704"/>
      <c r="BC13" s="704"/>
      <c r="BD13" s="705"/>
      <c r="BF13" s="716"/>
      <c r="BG13" s="717"/>
      <c r="BH13" s="717"/>
      <c r="BI13" s="717"/>
      <c r="BJ13" s="717"/>
      <c r="BK13" s="717"/>
      <c r="BL13" s="718"/>
    </row>
    <row r="14" spans="1:73" ht="15" customHeight="1" thickBot="1" x14ac:dyDescent="0.3">
      <c r="B14" s="426"/>
      <c r="C14" s="426"/>
      <c r="D14" s="426"/>
      <c r="E14" s="426"/>
      <c r="F14" s="427"/>
      <c r="G14" s="420"/>
      <c r="H14" s="114"/>
      <c r="I14" s="681"/>
      <c r="J14" s="682"/>
      <c r="K14" s="682"/>
      <c r="L14" s="682"/>
      <c r="M14" s="682"/>
      <c r="N14" s="683"/>
      <c r="P14" s="703" t="s">
        <v>440</v>
      </c>
      <c r="Q14" s="704"/>
      <c r="R14" s="704"/>
      <c r="S14" s="704"/>
      <c r="T14" s="704"/>
      <c r="U14" s="705"/>
      <c r="W14" s="703" t="s">
        <v>440</v>
      </c>
      <c r="X14" s="704"/>
      <c r="Y14" s="704"/>
      <c r="Z14" s="704"/>
      <c r="AA14" s="704"/>
      <c r="AB14" s="705"/>
      <c r="AC14" s="431"/>
      <c r="AD14" s="681"/>
      <c r="AE14" s="682"/>
      <c r="AF14" s="682"/>
      <c r="AG14" s="682"/>
      <c r="AH14" s="682"/>
      <c r="AI14" s="683"/>
      <c r="AK14" s="426"/>
      <c r="AL14" s="426"/>
      <c r="AM14" s="426"/>
      <c r="AN14" s="426"/>
      <c r="AO14" s="427"/>
      <c r="AP14" s="420"/>
      <c r="AR14" s="703" t="s">
        <v>440</v>
      </c>
      <c r="AS14" s="704"/>
      <c r="AT14" s="704"/>
      <c r="AU14" s="704"/>
      <c r="AV14" s="704"/>
      <c r="AW14" s="705"/>
      <c r="AY14" s="700"/>
      <c r="AZ14" s="701"/>
      <c r="BA14" s="701"/>
      <c r="BB14" s="701"/>
      <c r="BC14" s="701"/>
      <c r="BD14" s="702"/>
      <c r="BF14" s="719"/>
      <c r="BG14" s="720"/>
      <c r="BH14" s="720"/>
      <c r="BI14" s="720"/>
      <c r="BJ14" s="720"/>
      <c r="BK14" s="720"/>
      <c r="BL14" s="721"/>
    </row>
    <row r="15" spans="1:73" ht="15.75" customHeight="1" thickBot="1" x14ac:dyDescent="0.3">
      <c r="B15" s="703" t="s">
        <v>440</v>
      </c>
      <c r="C15" s="704"/>
      <c r="D15" s="704"/>
      <c r="E15" s="704"/>
      <c r="F15" s="704"/>
      <c r="G15" s="705"/>
      <c r="H15" s="430"/>
      <c r="I15" s="426"/>
      <c r="J15" s="426"/>
      <c r="K15" s="426"/>
      <c r="L15" s="426"/>
      <c r="M15" s="427"/>
      <c r="N15" s="420"/>
      <c r="P15" s="700"/>
      <c r="Q15" s="701"/>
      <c r="R15" s="701"/>
      <c r="S15" s="701"/>
      <c r="T15" s="701"/>
      <c r="U15" s="702"/>
      <c r="W15" s="700"/>
      <c r="X15" s="701"/>
      <c r="Y15" s="701"/>
      <c r="Z15" s="701"/>
      <c r="AA15" s="701"/>
      <c r="AB15" s="702"/>
      <c r="AC15" s="432"/>
      <c r="AD15" s="426"/>
      <c r="AE15" s="426"/>
      <c r="AF15" s="426"/>
      <c r="AG15" s="426"/>
      <c r="AH15" s="427"/>
      <c r="AI15" s="420"/>
      <c r="AK15" s="703" t="s">
        <v>440</v>
      </c>
      <c r="AL15" s="704"/>
      <c r="AM15" s="704"/>
      <c r="AN15" s="704"/>
      <c r="AO15" s="704"/>
      <c r="AP15" s="705"/>
      <c r="AR15" s="700"/>
      <c r="AS15" s="701"/>
      <c r="AT15" s="701"/>
      <c r="AU15" s="701"/>
      <c r="AV15" s="701"/>
      <c r="AW15" s="702"/>
      <c r="AY15" s="693" t="s">
        <v>441</v>
      </c>
      <c r="AZ15" s="694"/>
      <c r="BA15" s="694"/>
      <c r="BB15" s="694"/>
      <c r="BC15" s="694"/>
      <c r="BD15" s="695"/>
      <c r="BF15" s="696" t="s">
        <v>419</v>
      </c>
      <c r="BG15" s="697"/>
      <c r="BH15" s="698"/>
      <c r="BI15" s="698"/>
      <c r="BJ15" s="698"/>
      <c r="BK15" s="698"/>
      <c r="BL15" s="699"/>
      <c r="BP15" s="579"/>
    </row>
    <row r="16" spans="1:73" ht="15.75" thickBot="1" x14ac:dyDescent="0.3">
      <c r="B16" s="700"/>
      <c r="C16" s="701"/>
      <c r="D16" s="701"/>
      <c r="E16" s="701"/>
      <c r="F16" s="701"/>
      <c r="G16" s="702"/>
      <c r="H16" s="430"/>
      <c r="I16" s="703" t="s">
        <v>440</v>
      </c>
      <c r="J16" s="704"/>
      <c r="K16" s="704"/>
      <c r="L16" s="704"/>
      <c r="M16" s="704"/>
      <c r="N16" s="705"/>
      <c r="P16" s="693" t="s">
        <v>441</v>
      </c>
      <c r="Q16" s="694"/>
      <c r="R16" s="694"/>
      <c r="S16" s="694"/>
      <c r="T16" s="694"/>
      <c r="U16" s="695"/>
      <c r="W16" s="693" t="s">
        <v>441</v>
      </c>
      <c r="X16" s="694"/>
      <c r="Y16" s="694"/>
      <c r="Z16" s="694"/>
      <c r="AA16" s="694"/>
      <c r="AB16" s="695"/>
      <c r="AC16" s="433"/>
      <c r="AD16" s="703" t="s">
        <v>440</v>
      </c>
      <c r="AE16" s="704"/>
      <c r="AF16" s="704"/>
      <c r="AG16" s="704"/>
      <c r="AH16" s="704"/>
      <c r="AI16" s="705"/>
      <c r="AK16" s="700"/>
      <c r="AL16" s="701"/>
      <c r="AM16" s="701"/>
      <c r="AN16" s="701"/>
      <c r="AO16" s="701"/>
      <c r="AP16" s="702"/>
      <c r="AR16" s="693" t="s">
        <v>441</v>
      </c>
      <c r="AS16" s="694"/>
      <c r="AT16" s="694"/>
      <c r="AU16" s="694"/>
      <c r="AV16" s="694"/>
      <c r="AW16" s="695"/>
      <c r="AY16" s="690" t="s">
        <v>556</v>
      </c>
      <c r="AZ16" s="691"/>
      <c r="BA16" s="691"/>
      <c r="BB16" s="691"/>
      <c r="BC16" s="691"/>
      <c r="BD16" s="692"/>
      <c r="BF16" s="706" t="s">
        <v>358</v>
      </c>
      <c r="BG16" s="708" t="s">
        <v>415</v>
      </c>
      <c r="BH16" s="709" t="s">
        <v>339</v>
      </c>
      <c r="BI16" s="709" t="s">
        <v>340</v>
      </c>
      <c r="BJ16" s="709"/>
      <c r="BK16" s="709" t="s">
        <v>468</v>
      </c>
      <c r="BL16" s="711" t="s">
        <v>324</v>
      </c>
      <c r="BP16" s="580"/>
    </row>
    <row r="17" spans="2:68" ht="15.75" thickBot="1" x14ac:dyDescent="0.3">
      <c r="B17" s="693" t="s">
        <v>441</v>
      </c>
      <c r="C17" s="694"/>
      <c r="D17" s="694"/>
      <c r="E17" s="694"/>
      <c r="F17" s="694"/>
      <c r="G17" s="695"/>
      <c r="H17" s="431"/>
      <c r="I17" s="700"/>
      <c r="J17" s="701"/>
      <c r="K17" s="701"/>
      <c r="L17" s="701"/>
      <c r="M17" s="701"/>
      <c r="N17" s="702"/>
      <c r="P17" s="690" t="s">
        <v>460</v>
      </c>
      <c r="Q17" s="691"/>
      <c r="R17" s="691"/>
      <c r="S17" s="691"/>
      <c r="T17" s="691"/>
      <c r="U17" s="692"/>
      <c r="W17" s="690" t="s">
        <v>442</v>
      </c>
      <c r="X17" s="691"/>
      <c r="Y17" s="691"/>
      <c r="Z17" s="691"/>
      <c r="AA17" s="691"/>
      <c r="AB17" s="692"/>
      <c r="AC17" s="420"/>
      <c r="AD17" s="700"/>
      <c r="AE17" s="701"/>
      <c r="AF17" s="701"/>
      <c r="AG17" s="701"/>
      <c r="AH17" s="701"/>
      <c r="AI17" s="702"/>
      <c r="AK17" s="693" t="s">
        <v>441</v>
      </c>
      <c r="AL17" s="694"/>
      <c r="AM17" s="694"/>
      <c r="AN17" s="694"/>
      <c r="AO17" s="694"/>
      <c r="AP17" s="695"/>
      <c r="AR17" s="690" t="s">
        <v>554</v>
      </c>
      <c r="AS17" s="691"/>
      <c r="AT17" s="691"/>
      <c r="AU17" s="691"/>
      <c r="AV17" s="691"/>
      <c r="AW17" s="692"/>
      <c r="AY17" s="687" t="s">
        <v>466</v>
      </c>
      <c r="AZ17" s="688"/>
      <c r="BA17" s="688"/>
      <c r="BB17" s="689"/>
      <c r="BC17" s="395">
        <v>1.3</v>
      </c>
      <c r="BD17" s="423" t="s">
        <v>18</v>
      </c>
      <c r="BF17" s="707"/>
      <c r="BG17" s="665"/>
      <c r="BH17" s="710"/>
      <c r="BI17" s="710"/>
      <c r="BJ17" s="710"/>
      <c r="BK17" s="710"/>
      <c r="BL17" s="712"/>
    </row>
    <row r="18" spans="2:68" ht="15.75" customHeight="1" thickBot="1" x14ac:dyDescent="0.3">
      <c r="B18" s="690" t="s">
        <v>359</v>
      </c>
      <c r="C18" s="691"/>
      <c r="D18" s="691"/>
      <c r="E18" s="691"/>
      <c r="F18" s="691"/>
      <c r="G18" s="692"/>
      <c r="H18" s="431"/>
      <c r="I18" s="693" t="s">
        <v>441</v>
      </c>
      <c r="J18" s="694"/>
      <c r="K18" s="694"/>
      <c r="L18" s="694"/>
      <c r="M18" s="694"/>
      <c r="N18" s="695"/>
      <c r="P18" s="687" t="s">
        <v>466</v>
      </c>
      <c r="Q18" s="688"/>
      <c r="R18" s="688"/>
      <c r="S18" s="689"/>
      <c r="T18" s="395">
        <v>2.8</v>
      </c>
      <c r="U18" s="423" t="s">
        <v>18</v>
      </c>
      <c r="W18" s="687" t="s">
        <v>466</v>
      </c>
      <c r="X18" s="688"/>
      <c r="Y18" s="688"/>
      <c r="Z18" s="689"/>
      <c r="AA18" s="395">
        <v>2.2999999999999998</v>
      </c>
      <c r="AB18" s="423" t="s">
        <v>18</v>
      </c>
      <c r="AC18" s="578"/>
      <c r="AD18" s="693" t="s">
        <v>441</v>
      </c>
      <c r="AE18" s="694"/>
      <c r="AF18" s="694"/>
      <c r="AG18" s="694"/>
      <c r="AH18" s="694"/>
      <c r="AI18" s="695"/>
      <c r="AK18" s="690" t="s">
        <v>461</v>
      </c>
      <c r="AL18" s="691"/>
      <c r="AM18" s="691"/>
      <c r="AN18" s="691"/>
      <c r="AO18" s="691"/>
      <c r="AP18" s="692"/>
      <c r="AR18" s="687" t="s">
        <v>466</v>
      </c>
      <c r="AS18" s="688"/>
      <c r="AT18" s="688"/>
      <c r="AU18" s="689"/>
      <c r="AV18" s="395">
        <v>1.1000000000000001</v>
      </c>
      <c r="AW18" s="423" t="s">
        <v>18</v>
      </c>
      <c r="AY18" s="687" t="s">
        <v>443</v>
      </c>
      <c r="AZ18" s="688"/>
      <c r="BA18" s="688"/>
      <c r="BB18" s="689"/>
      <c r="BC18" s="395">
        <f>BC10</f>
        <v>35.296860000000002</v>
      </c>
      <c r="BD18" s="423" t="s">
        <v>18</v>
      </c>
      <c r="BF18" s="418" t="s">
        <v>359</v>
      </c>
      <c r="BG18" s="564" t="s">
        <v>378</v>
      </c>
      <c r="BH18" s="558" t="s">
        <v>462</v>
      </c>
      <c r="BI18" s="559">
        <v>1</v>
      </c>
      <c r="BJ18" s="562" t="s">
        <v>342</v>
      </c>
      <c r="BK18" s="560">
        <f>F23</f>
        <v>78.278589999999994</v>
      </c>
      <c r="BL18" s="400" t="s">
        <v>18</v>
      </c>
    </row>
    <row r="19" spans="2:68" ht="15" customHeight="1" x14ac:dyDescent="0.25">
      <c r="B19" s="687" t="s">
        <v>466</v>
      </c>
      <c r="C19" s="688"/>
      <c r="D19" s="688"/>
      <c r="E19" s="689"/>
      <c r="F19" s="395">
        <v>1.8</v>
      </c>
      <c r="G19" s="423" t="s">
        <v>18</v>
      </c>
      <c r="H19" s="431"/>
      <c r="I19" s="690" t="s">
        <v>414</v>
      </c>
      <c r="J19" s="691"/>
      <c r="K19" s="691"/>
      <c r="L19" s="691"/>
      <c r="M19" s="691"/>
      <c r="N19" s="692"/>
      <c r="P19" s="687" t="s">
        <v>443</v>
      </c>
      <c r="Q19" s="688"/>
      <c r="R19" s="688"/>
      <c r="S19" s="689"/>
      <c r="T19" s="395">
        <f>T11</f>
        <v>34.334479999999999</v>
      </c>
      <c r="U19" s="423" t="s">
        <v>18</v>
      </c>
      <c r="W19" s="687" t="s">
        <v>443</v>
      </c>
      <c r="X19" s="688"/>
      <c r="Y19" s="688"/>
      <c r="Z19" s="689"/>
      <c r="AA19" s="395">
        <f>AA11</f>
        <v>36.466689999999993</v>
      </c>
      <c r="AB19" s="423" t="s">
        <v>18</v>
      </c>
      <c r="AC19" s="114"/>
      <c r="AD19" s="690" t="s">
        <v>445</v>
      </c>
      <c r="AE19" s="691"/>
      <c r="AF19" s="691"/>
      <c r="AG19" s="691"/>
      <c r="AH19" s="691"/>
      <c r="AI19" s="692"/>
      <c r="AK19" s="687" t="s">
        <v>466</v>
      </c>
      <c r="AL19" s="688"/>
      <c r="AM19" s="688"/>
      <c r="AN19" s="689"/>
      <c r="AO19" s="395">
        <v>1.2</v>
      </c>
      <c r="AP19" s="423" t="s">
        <v>18</v>
      </c>
      <c r="AR19" s="687" t="s">
        <v>443</v>
      </c>
      <c r="AS19" s="688"/>
      <c r="AT19" s="688"/>
      <c r="AU19" s="689"/>
      <c r="AV19" s="395">
        <f>AV11</f>
        <v>27.381270000000001</v>
      </c>
      <c r="AW19" s="423" t="s">
        <v>18</v>
      </c>
      <c r="AY19" s="687" t="s">
        <v>444</v>
      </c>
      <c r="AZ19" s="688"/>
      <c r="BA19" s="688"/>
      <c r="BB19" s="689"/>
      <c r="BC19" s="395">
        <v>2.9</v>
      </c>
      <c r="BD19" s="423" t="s">
        <v>18</v>
      </c>
      <c r="BF19" s="675"/>
      <c r="BG19" s="676"/>
      <c r="BH19" s="676"/>
      <c r="BI19" s="676"/>
      <c r="BJ19" s="676"/>
      <c r="BK19" s="676"/>
      <c r="BL19" s="677"/>
    </row>
    <row r="20" spans="2:68" x14ac:dyDescent="0.25">
      <c r="B20" s="687" t="s">
        <v>443</v>
      </c>
      <c r="C20" s="688"/>
      <c r="D20" s="688"/>
      <c r="E20" s="689"/>
      <c r="F20" s="395">
        <f>F12</f>
        <v>54.478589999999997</v>
      </c>
      <c r="G20" s="423" t="s">
        <v>18</v>
      </c>
      <c r="H20" s="432"/>
      <c r="I20" s="687" t="s">
        <v>466</v>
      </c>
      <c r="J20" s="688"/>
      <c r="K20" s="688"/>
      <c r="L20" s="689"/>
      <c r="M20" s="395">
        <v>1.8</v>
      </c>
      <c r="N20" s="423" t="s">
        <v>18</v>
      </c>
      <c r="P20" s="687" t="s">
        <v>444</v>
      </c>
      <c r="Q20" s="688"/>
      <c r="R20" s="688"/>
      <c r="S20" s="689"/>
      <c r="T20" s="395">
        <v>5.5</v>
      </c>
      <c r="U20" s="423" t="s">
        <v>18</v>
      </c>
      <c r="W20" s="687" t="s">
        <v>444</v>
      </c>
      <c r="X20" s="688"/>
      <c r="Y20" s="688"/>
      <c r="Z20" s="689"/>
      <c r="AA20" s="395">
        <v>14.7</v>
      </c>
      <c r="AB20" s="423" t="s">
        <v>18</v>
      </c>
      <c r="AC20" s="430"/>
      <c r="AD20" s="687" t="s">
        <v>466</v>
      </c>
      <c r="AE20" s="688"/>
      <c r="AF20" s="688"/>
      <c r="AG20" s="689"/>
      <c r="AH20" s="395">
        <v>6.6</v>
      </c>
      <c r="AI20" s="423" t="s">
        <v>18</v>
      </c>
      <c r="AK20" s="687" t="s">
        <v>443</v>
      </c>
      <c r="AL20" s="688"/>
      <c r="AM20" s="688"/>
      <c r="AN20" s="689"/>
      <c r="AO20" s="395">
        <f>AO12</f>
        <v>40.387909999999998</v>
      </c>
      <c r="AP20" s="423" t="s">
        <v>18</v>
      </c>
      <c r="AR20" s="687" t="s">
        <v>444</v>
      </c>
      <c r="AS20" s="688"/>
      <c r="AT20" s="688"/>
      <c r="AU20" s="689"/>
      <c r="AV20" s="395">
        <v>13.5</v>
      </c>
      <c r="AW20" s="423" t="s">
        <v>18</v>
      </c>
      <c r="AY20" s="687" t="s">
        <v>467</v>
      </c>
      <c r="AZ20" s="688"/>
      <c r="BA20" s="688"/>
      <c r="BB20" s="689"/>
      <c r="BC20" s="395">
        <v>12.5</v>
      </c>
      <c r="BD20" s="423" t="s">
        <v>18</v>
      </c>
      <c r="BF20" s="418" t="s">
        <v>414</v>
      </c>
      <c r="BG20" s="564" t="s">
        <v>378</v>
      </c>
      <c r="BH20" s="558" t="s">
        <v>463</v>
      </c>
      <c r="BI20" s="559">
        <v>1</v>
      </c>
      <c r="BJ20" s="562" t="s">
        <v>342</v>
      </c>
      <c r="BK20" s="560">
        <f>M24</f>
        <v>108.33692000000001</v>
      </c>
      <c r="BL20" s="400" t="s">
        <v>18</v>
      </c>
    </row>
    <row r="21" spans="2:68" ht="15.75" thickBot="1" x14ac:dyDescent="0.3">
      <c r="B21" s="687" t="s">
        <v>444</v>
      </c>
      <c r="C21" s="688"/>
      <c r="D21" s="688"/>
      <c r="E21" s="689"/>
      <c r="F21" s="395">
        <v>9.5</v>
      </c>
      <c r="G21" s="423" t="s">
        <v>18</v>
      </c>
      <c r="H21" s="433"/>
      <c r="I21" s="687" t="s">
        <v>443</v>
      </c>
      <c r="J21" s="688"/>
      <c r="K21" s="688"/>
      <c r="L21" s="689"/>
      <c r="M21" s="395">
        <f>M13</f>
        <v>87.536920000000009</v>
      </c>
      <c r="N21" s="423" t="s">
        <v>18</v>
      </c>
      <c r="P21" s="687" t="s">
        <v>467</v>
      </c>
      <c r="Q21" s="688"/>
      <c r="R21" s="688"/>
      <c r="S21" s="689"/>
      <c r="T21" s="395">
        <v>12.5</v>
      </c>
      <c r="U21" s="423" t="s">
        <v>18</v>
      </c>
      <c r="W21" s="687" t="s">
        <v>467</v>
      </c>
      <c r="X21" s="688"/>
      <c r="Y21" s="688"/>
      <c r="Z21" s="689"/>
      <c r="AA21" s="395">
        <v>12.5</v>
      </c>
      <c r="AB21" s="423" t="s">
        <v>18</v>
      </c>
      <c r="AC21" s="430"/>
      <c r="AD21" s="687" t="s">
        <v>443</v>
      </c>
      <c r="AE21" s="688"/>
      <c r="AF21" s="688"/>
      <c r="AG21" s="689"/>
      <c r="AH21" s="395">
        <f>AH13</f>
        <v>50.774150000000006</v>
      </c>
      <c r="AI21" s="423" t="s">
        <v>18</v>
      </c>
      <c r="AK21" s="687" t="s">
        <v>444</v>
      </c>
      <c r="AL21" s="688"/>
      <c r="AM21" s="688"/>
      <c r="AN21" s="689"/>
      <c r="AO21" s="395">
        <v>14</v>
      </c>
      <c r="AP21" s="423" t="s">
        <v>18</v>
      </c>
      <c r="AR21" s="687" t="s">
        <v>467</v>
      </c>
      <c r="AS21" s="688"/>
      <c r="AT21" s="688"/>
      <c r="AU21" s="689"/>
      <c r="AV21" s="395">
        <v>12.5</v>
      </c>
      <c r="AW21" s="423" t="s">
        <v>18</v>
      </c>
      <c r="AY21" s="684" t="s">
        <v>360</v>
      </c>
      <c r="AZ21" s="685"/>
      <c r="BA21" s="685"/>
      <c r="BB21" s="686"/>
      <c r="BC21" s="428">
        <f>SUM(BC17:BC20)</f>
        <v>51.996859999999998</v>
      </c>
      <c r="BD21" s="429" t="s">
        <v>18</v>
      </c>
      <c r="BF21" s="675"/>
      <c r="BG21" s="676"/>
      <c r="BH21" s="676"/>
      <c r="BI21" s="676"/>
      <c r="BJ21" s="676"/>
      <c r="BK21" s="676"/>
      <c r="BL21" s="677"/>
    </row>
    <row r="22" spans="2:68" ht="15.75" thickBot="1" x14ac:dyDescent="0.3">
      <c r="B22" s="687" t="s">
        <v>467</v>
      </c>
      <c r="C22" s="688"/>
      <c r="D22" s="688"/>
      <c r="E22" s="689"/>
      <c r="F22" s="395">
        <v>12.5</v>
      </c>
      <c r="G22" s="423" t="s">
        <v>18</v>
      </c>
      <c r="H22" s="433"/>
      <c r="I22" s="687" t="s">
        <v>444</v>
      </c>
      <c r="J22" s="688"/>
      <c r="K22" s="688"/>
      <c r="L22" s="689"/>
      <c r="M22" s="395">
        <v>6.5</v>
      </c>
      <c r="N22" s="423" t="s">
        <v>18</v>
      </c>
      <c r="P22" s="684" t="s">
        <v>360</v>
      </c>
      <c r="Q22" s="685"/>
      <c r="R22" s="685"/>
      <c r="S22" s="686"/>
      <c r="T22" s="428">
        <f>SUM(T18:T21)</f>
        <v>55.134479999999996</v>
      </c>
      <c r="U22" s="429" t="s">
        <v>18</v>
      </c>
      <c r="W22" s="684" t="s">
        <v>360</v>
      </c>
      <c r="X22" s="685"/>
      <c r="Y22" s="685"/>
      <c r="Z22" s="686"/>
      <c r="AA22" s="428">
        <f>SUM(AA18:AA21)</f>
        <v>65.966689999999986</v>
      </c>
      <c r="AB22" s="429" t="s">
        <v>18</v>
      </c>
      <c r="AC22" s="431"/>
      <c r="AD22" s="687" t="s">
        <v>444</v>
      </c>
      <c r="AE22" s="688"/>
      <c r="AF22" s="688"/>
      <c r="AG22" s="689"/>
      <c r="AH22" s="395">
        <v>14</v>
      </c>
      <c r="AI22" s="423" t="s">
        <v>18</v>
      </c>
      <c r="AK22" s="687" t="s">
        <v>467</v>
      </c>
      <c r="AL22" s="688"/>
      <c r="AM22" s="688"/>
      <c r="AN22" s="689"/>
      <c r="AO22" s="395">
        <v>12.5</v>
      </c>
      <c r="AP22" s="423" t="s">
        <v>18</v>
      </c>
      <c r="AR22" s="684" t="s">
        <v>360</v>
      </c>
      <c r="AS22" s="685"/>
      <c r="AT22" s="685"/>
      <c r="AU22" s="686"/>
      <c r="AV22" s="428">
        <f>SUM(AV18:AV21)</f>
        <v>54.481270000000002</v>
      </c>
      <c r="AW22" s="429" t="s">
        <v>18</v>
      </c>
      <c r="AY22" s="681"/>
      <c r="AZ22" s="682"/>
      <c r="BA22" s="682"/>
      <c r="BB22" s="682"/>
      <c r="BC22" s="682"/>
      <c r="BD22" s="683"/>
      <c r="BF22" s="663" t="s">
        <v>460</v>
      </c>
      <c r="BG22" s="665" t="s">
        <v>416</v>
      </c>
      <c r="BH22" s="667" t="s">
        <v>559</v>
      </c>
      <c r="BI22" s="669">
        <f>(1/30)*7</f>
        <v>0.23333333333333334</v>
      </c>
      <c r="BJ22" s="671" t="s">
        <v>342</v>
      </c>
      <c r="BK22" s="669">
        <f>T22</f>
        <v>55.134479999999996</v>
      </c>
      <c r="BL22" s="673" t="s">
        <v>18</v>
      </c>
      <c r="BM22" s="579"/>
      <c r="BN22" s="579"/>
      <c r="BO22" s="569"/>
      <c r="BP22" s="579">
        <f>BK22</f>
        <v>55.134479999999996</v>
      </c>
    </row>
    <row r="23" spans="2:68" ht="15.75" customHeight="1" thickBot="1" x14ac:dyDescent="0.3">
      <c r="B23" s="684" t="s">
        <v>360</v>
      </c>
      <c r="C23" s="685"/>
      <c r="D23" s="685"/>
      <c r="E23" s="686"/>
      <c r="F23" s="428">
        <f>SUM(F19:F22)</f>
        <v>78.278589999999994</v>
      </c>
      <c r="G23" s="429" t="s">
        <v>18</v>
      </c>
      <c r="H23" s="581"/>
      <c r="I23" s="687" t="s">
        <v>467</v>
      </c>
      <c r="J23" s="688"/>
      <c r="K23" s="688"/>
      <c r="L23" s="689"/>
      <c r="M23" s="395">
        <v>12.5</v>
      </c>
      <c r="N23" s="423" t="s">
        <v>18</v>
      </c>
      <c r="P23" s="681"/>
      <c r="Q23" s="682"/>
      <c r="R23" s="682"/>
      <c r="S23" s="682"/>
      <c r="T23" s="682"/>
      <c r="U23" s="683"/>
      <c r="W23" s="681"/>
      <c r="X23" s="682"/>
      <c r="Y23" s="682"/>
      <c r="Z23" s="682"/>
      <c r="AA23" s="682"/>
      <c r="AB23" s="683"/>
      <c r="AC23" s="431"/>
      <c r="AD23" s="687" t="s">
        <v>467</v>
      </c>
      <c r="AE23" s="688"/>
      <c r="AF23" s="688"/>
      <c r="AG23" s="689"/>
      <c r="AH23" s="395">
        <v>12.5</v>
      </c>
      <c r="AI23" s="423" t="s">
        <v>18</v>
      </c>
      <c r="AK23" s="684" t="s">
        <v>360</v>
      </c>
      <c r="AL23" s="685"/>
      <c r="AM23" s="685"/>
      <c r="AN23" s="686"/>
      <c r="AO23" s="428">
        <f>SUM(AO19:AO22)</f>
        <v>68.087909999999994</v>
      </c>
      <c r="AP23" s="429" t="s">
        <v>18</v>
      </c>
      <c r="AR23" s="681"/>
      <c r="AS23" s="682"/>
      <c r="AT23" s="682"/>
      <c r="AU23" s="682"/>
      <c r="AV23" s="682"/>
      <c r="AW23" s="683"/>
      <c r="BF23" s="663"/>
      <c r="BG23" s="665"/>
      <c r="BH23" s="667"/>
      <c r="BI23" s="669"/>
      <c r="BJ23" s="671"/>
      <c r="BK23" s="669"/>
      <c r="BL23" s="673"/>
      <c r="BO23" s="579"/>
    </row>
    <row r="24" spans="2:68" ht="15.75" thickBot="1" x14ac:dyDescent="0.3">
      <c r="B24" s="681"/>
      <c r="C24" s="682"/>
      <c r="D24" s="682"/>
      <c r="E24" s="682"/>
      <c r="F24" s="682"/>
      <c r="G24" s="683"/>
      <c r="H24" s="582"/>
      <c r="I24" s="684" t="s">
        <v>360</v>
      </c>
      <c r="J24" s="685"/>
      <c r="K24" s="685"/>
      <c r="L24" s="686"/>
      <c r="M24" s="428">
        <f>SUM(M20:M23)</f>
        <v>108.33692000000001</v>
      </c>
      <c r="N24" s="429" t="s">
        <v>18</v>
      </c>
      <c r="AC24" s="431"/>
      <c r="AD24" s="684" t="s">
        <v>360</v>
      </c>
      <c r="AE24" s="685"/>
      <c r="AF24" s="685"/>
      <c r="AG24" s="686"/>
      <c r="AH24" s="428">
        <f>SUM(AH20:AH23)</f>
        <v>83.874150000000014</v>
      </c>
      <c r="AI24" s="429" t="s">
        <v>18</v>
      </c>
      <c r="AK24" s="681"/>
      <c r="AL24" s="682"/>
      <c r="AM24" s="682"/>
      <c r="AN24" s="682"/>
      <c r="AO24" s="682"/>
      <c r="AP24" s="683"/>
      <c r="BF24" s="675"/>
      <c r="BG24" s="676"/>
      <c r="BH24" s="676"/>
      <c r="BI24" s="676"/>
      <c r="BJ24" s="676"/>
      <c r="BK24" s="676"/>
      <c r="BL24" s="677"/>
      <c r="BM24" s="579"/>
    </row>
    <row r="25" spans="2:68" ht="15.75" thickBot="1" x14ac:dyDescent="0.3">
      <c r="H25" s="578"/>
      <c r="I25" s="681"/>
      <c r="J25" s="682"/>
      <c r="K25" s="682"/>
      <c r="L25" s="682"/>
      <c r="M25" s="682"/>
      <c r="N25" s="683"/>
      <c r="AC25" s="431"/>
      <c r="AD25" s="681"/>
      <c r="AE25" s="682"/>
      <c r="AF25" s="682"/>
      <c r="AG25" s="682"/>
      <c r="AH25" s="682"/>
      <c r="AI25" s="683"/>
      <c r="BF25" s="663" t="s">
        <v>442</v>
      </c>
      <c r="BG25" s="665" t="s">
        <v>416</v>
      </c>
      <c r="BH25" s="667" t="s">
        <v>559</v>
      </c>
      <c r="BI25" s="669">
        <f>(1/30)*7</f>
        <v>0.23333333333333334</v>
      </c>
      <c r="BJ25" s="671" t="s">
        <v>342</v>
      </c>
      <c r="BK25" s="669">
        <f>AA22</f>
        <v>65.966689999999986</v>
      </c>
      <c r="BL25" s="673" t="s">
        <v>18</v>
      </c>
      <c r="BO25" s="569"/>
      <c r="BP25" s="579">
        <f t="shared" ref="BP25:BP39" si="0">BK25</f>
        <v>65.966689999999986</v>
      </c>
    </row>
    <row r="26" spans="2:68" x14ac:dyDescent="0.25">
      <c r="H26" s="583"/>
      <c r="AC26" s="432"/>
      <c r="BF26" s="663"/>
      <c r="BG26" s="665"/>
      <c r="BH26" s="667"/>
      <c r="BI26" s="669"/>
      <c r="BJ26" s="671"/>
      <c r="BK26" s="669"/>
      <c r="BL26" s="673"/>
      <c r="BM26" s="579"/>
      <c r="BN26" s="569"/>
      <c r="BO26" s="579"/>
      <c r="BP26" s="579">
        <f t="shared" si="0"/>
        <v>0</v>
      </c>
    </row>
    <row r="27" spans="2:68" x14ac:dyDescent="0.25">
      <c r="H27" s="583"/>
      <c r="AC27" s="433"/>
      <c r="BF27" s="675"/>
      <c r="BG27" s="676"/>
      <c r="BH27" s="676"/>
      <c r="BI27" s="676"/>
      <c r="BJ27" s="676"/>
      <c r="BK27" s="676"/>
      <c r="BL27" s="677"/>
      <c r="BP27" s="579">
        <f t="shared" si="0"/>
        <v>0</v>
      </c>
    </row>
    <row r="28" spans="2:68" x14ac:dyDescent="0.25">
      <c r="H28" s="584"/>
      <c r="BF28" s="663" t="s">
        <v>445</v>
      </c>
      <c r="BG28" s="665" t="s">
        <v>416</v>
      </c>
      <c r="BH28" s="667" t="s">
        <v>559</v>
      </c>
      <c r="BI28" s="669">
        <f>(1/30)*7</f>
        <v>0.23333333333333334</v>
      </c>
      <c r="BJ28" s="671" t="s">
        <v>342</v>
      </c>
      <c r="BK28" s="669">
        <f>AH24</f>
        <v>83.874150000000014</v>
      </c>
      <c r="BL28" s="673" t="s">
        <v>18</v>
      </c>
      <c r="BM28" s="579"/>
      <c r="BN28" s="569"/>
      <c r="BO28" s="569"/>
      <c r="BP28" s="579">
        <f t="shared" si="0"/>
        <v>83.874150000000014</v>
      </c>
    </row>
    <row r="29" spans="2:68" x14ac:dyDescent="0.25">
      <c r="F29" s="580"/>
      <c r="H29" s="584"/>
      <c r="BF29" s="663"/>
      <c r="BG29" s="665"/>
      <c r="BH29" s="667"/>
      <c r="BI29" s="669"/>
      <c r="BJ29" s="671"/>
      <c r="BK29" s="669"/>
      <c r="BL29" s="673"/>
      <c r="BM29" s="579"/>
      <c r="BP29" s="579">
        <f t="shared" si="0"/>
        <v>0</v>
      </c>
    </row>
    <row r="30" spans="2:68" x14ac:dyDescent="0.25">
      <c r="H30" s="584"/>
      <c r="BF30" s="675"/>
      <c r="BG30" s="676"/>
      <c r="BH30" s="676"/>
      <c r="BI30" s="676"/>
      <c r="BJ30" s="676"/>
      <c r="BK30" s="676"/>
      <c r="BL30" s="677"/>
      <c r="BO30" s="579"/>
      <c r="BP30" s="579">
        <f t="shared" si="0"/>
        <v>0</v>
      </c>
    </row>
    <row r="31" spans="2:68" x14ac:dyDescent="0.25">
      <c r="H31" s="584"/>
      <c r="M31" s="580"/>
      <c r="BF31" s="663" t="s">
        <v>461</v>
      </c>
      <c r="BG31" s="665" t="s">
        <v>416</v>
      </c>
      <c r="BH31" s="667" t="s">
        <v>559</v>
      </c>
      <c r="BI31" s="669">
        <f>(1/30)*7</f>
        <v>0.23333333333333334</v>
      </c>
      <c r="BJ31" s="671" t="s">
        <v>342</v>
      </c>
      <c r="BK31" s="669">
        <f>AO23</f>
        <v>68.087909999999994</v>
      </c>
      <c r="BL31" s="673" t="s">
        <v>18</v>
      </c>
      <c r="BO31" s="569"/>
      <c r="BP31" s="579">
        <f t="shared" si="0"/>
        <v>68.087909999999994</v>
      </c>
    </row>
    <row r="32" spans="2:68" x14ac:dyDescent="0.25">
      <c r="H32" s="584"/>
      <c r="M32" s="580"/>
      <c r="BF32" s="663"/>
      <c r="BG32" s="665"/>
      <c r="BH32" s="667"/>
      <c r="BI32" s="669"/>
      <c r="BJ32" s="671"/>
      <c r="BK32" s="669"/>
      <c r="BL32" s="673"/>
      <c r="BP32" s="579">
        <f t="shared" si="0"/>
        <v>0</v>
      </c>
    </row>
    <row r="33" spans="8:71" x14ac:dyDescent="0.25">
      <c r="H33" s="585"/>
      <c r="M33" s="580"/>
      <c r="BF33" s="678"/>
      <c r="BG33" s="679"/>
      <c r="BH33" s="679"/>
      <c r="BI33" s="679"/>
      <c r="BJ33" s="679"/>
      <c r="BK33" s="679"/>
      <c r="BL33" s="680"/>
      <c r="BP33" s="579">
        <f t="shared" si="0"/>
        <v>0</v>
      </c>
    </row>
    <row r="34" spans="8:71" x14ac:dyDescent="0.25">
      <c r="H34" s="585"/>
      <c r="BF34" s="663" t="s">
        <v>554</v>
      </c>
      <c r="BG34" s="665" t="s">
        <v>416</v>
      </c>
      <c r="BH34" s="667" t="s">
        <v>559</v>
      </c>
      <c r="BI34" s="669">
        <f>(1/30)*7</f>
        <v>0.23333333333333334</v>
      </c>
      <c r="BJ34" s="671" t="s">
        <v>342</v>
      </c>
      <c r="BK34" s="669">
        <f>AV22</f>
        <v>54.481270000000002</v>
      </c>
      <c r="BL34" s="673" t="s">
        <v>18</v>
      </c>
      <c r="BO34" s="569"/>
      <c r="BP34" s="579">
        <f t="shared" si="0"/>
        <v>54.481270000000002</v>
      </c>
    </row>
    <row r="35" spans="8:71" x14ac:dyDescent="0.25">
      <c r="H35" s="585"/>
      <c r="K35" s="580"/>
      <c r="BF35" s="663"/>
      <c r="BG35" s="665"/>
      <c r="BH35" s="667"/>
      <c r="BI35" s="669"/>
      <c r="BJ35" s="671"/>
      <c r="BK35" s="669"/>
      <c r="BL35" s="673"/>
      <c r="BP35" s="579">
        <f t="shared" si="0"/>
        <v>0</v>
      </c>
    </row>
    <row r="36" spans="8:71" x14ac:dyDescent="0.25">
      <c r="M36" s="580"/>
      <c r="BF36" s="660"/>
      <c r="BG36" s="661"/>
      <c r="BH36" s="661"/>
      <c r="BI36" s="661"/>
      <c r="BJ36" s="661"/>
      <c r="BK36" s="661"/>
      <c r="BL36" s="662"/>
      <c r="BP36" s="579">
        <f t="shared" si="0"/>
        <v>0</v>
      </c>
    </row>
    <row r="37" spans="8:71" x14ac:dyDescent="0.25">
      <c r="BF37" s="663" t="s">
        <v>556</v>
      </c>
      <c r="BG37" s="665" t="s">
        <v>416</v>
      </c>
      <c r="BH37" s="667" t="s">
        <v>559</v>
      </c>
      <c r="BI37" s="669">
        <f>(1/30)*7</f>
        <v>0.23333333333333334</v>
      </c>
      <c r="BJ37" s="671" t="s">
        <v>342</v>
      </c>
      <c r="BK37" s="669">
        <f>BC21</f>
        <v>51.996859999999998</v>
      </c>
      <c r="BL37" s="673" t="s">
        <v>18</v>
      </c>
      <c r="BO37" s="569"/>
      <c r="BP37" s="579">
        <f t="shared" si="0"/>
        <v>51.996859999999998</v>
      </c>
    </row>
    <row r="38" spans="8:71" ht="15.75" thickBot="1" x14ac:dyDescent="0.3">
      <c r="BF38" s="664"/>
      <c r="BG38" s="666"/>
      <c r="BH38" s="668"/>
      <c r="BI38" s="670"/>
      <c r="BJ38" s="672"/>
      <c r="BK38" s="670"/>
      <c r="BL38" s="674"/>
      <c r="BP38" s="579">
        <f t="shared" si="0"/>
        <v>0</v>
      </c>
    </row>
    <row r="39" spans="8:71" ht="15.75" customHeight="1" x14ac:dyDescent="0.25">
      <c r="BF39" s="651"/>
      <c r="BG39" s="652"/>
      <c r="BH39" s="652"/>
      <c r="BI39" s="652"/>
      <c r="BJ39" s="652"/>
      <c r="BK39" s="652"/>
      <c r="BL39" s="653"/>
      <c r="BP39" s="579">
        <f t="shared" si="0"/>
        <v>0</v>
      </c>
    </row>
    <row r="40" spans="8:71" x14ac:dyDescent="0.25">
      <c r="BF40" s="654" t="s">
        <v>560</v>
      </c>
      <c r="BG40" s="655"/>
      <c r="BH40" s="656"/>
      <c r="BI40" s="656"/>
      <c r="BJ40" s="656"/>
      <c r="BK40" s="401">
        <f>(BI18*BK18)+(BI20*BK20)+(BI22*BK22)+(BI25*BK25)+(BI28*BK28)+(BI31*BK31)+(BI34*BK34)+(BI37*BK37)</f>
        <v>275.17516066666667</v>
      </c>
      <c r="BL40" s="402" t="s">
        <v>344</v>
      </c>
    </row>
    <row r="41" spans="8:71" ht="15.75" customHeight="1" thickBot="1" x14ac:dyDescent="0.3">
      <c r="BF41" s="657" t="s">
        <v>345</v>
      </c>
      <c r="BG41" s="658"/>
      <c r="BH41" s="659"/>
      <c r="BI41" s="659"/>
      <c r="BJ41" s="659"/>
      <c r="BK41" s="553">
        <f>((BK40/7)*30)</f>
        <v>1179.322117142857</v>
      </c>
      <c r="BL41" s="405" t="s">
        <v>344</v>
      </c>
      <c r="BP41" s="579">
        <f>SUM(BP22:BP39)</f>
        <v>379.54135999999994</v>
      </c>
      <c r="BS41" s="567">
        <f>BP41/BK41</f>
        <v>0.32183010433104958</v>
      </c>
    </row>
    <row r="42" spans="8:71" x14ac:dyDescent="0.25">
      <c r="BO42" s="579"/>
    </row>
    <row r="72" spans="59:59" x14ac:dyDescent="0.25">
      <c r="BG72" s="569"/>
    </row>
  </sheetData>
  <mergeCells count="257">
    <mergeCell ref="AR2:AW2"/>
    <mergeCell ref="AY2:BD2"/>
    <mergeCell ref="BF2:BL2"/>
    <mergeCell ref="BN2:BT2"/>
    <mergeCell ref="B3:G3"/>
    <mergeCell ref="I3:N3"/>
    <mergeCell ref="P3:U3"/>
    <mergeCell ref="W3:AB3"/>
    <mergeCell ref="AD3:AI3"/>
    <mergeCell ref="AK3:AP3"/>
    <mergeCell ref="B2:G2"/>
    <mergeCell ref="I2:N2"/>
    <mergeCell ref="P2:U2"/>
    <mergeCell ref="W2:AB2"/>
    <mergeCell ref="AD2:AI2"/>
    <mergeCell ref="AK2:AP2"/>
    <mergeCell ref="AR3:AW3"/>
    <mergeCell ref="AY3:BD3"/>
    <mergeCell ref="BF3:BL3"/>
    <mergeCell ref="BN3:BP3"/>
    <mergeCell ref="BQ3:BR3"/>
    <mergeCell ref="D4:E4"/>
    <mergeCell ref="K4:L4"/>
    <mergeCell ref="R4:S4"/>
    <mergeCell ref="Y4:Z4"/>
    <mergeCell ref="AF4:AG4"/>
    <mergeCell ref="AF5:AG5"/>
    <mergeCell ref="AM5:AN5"/>
    <mergeCell ref="AM4:AN4"/>
    <mergeCell ref="AT4:AU4"/>
    <mergeCell ref="BA4:BB4"/>
    <mergeCell ref="BF4:BL4"/>
    <mergeCell ref="BN4:BP5"/>
    <mergeCell ref="BQ4:BR4"/>
    <mergeCell ref="AT5:AU5"/>
    <mergeCell ref="BA5:BB5"/>
    <mergeCell ref="BF5:BF6"/>
    <mergeCell ref="BG5:BG6"/>
    <mergeCell ref="AM6:AN6"/>
    <mergeCell ref="AT6:AU6"/>
    <mergeCell ref="BA6:BB6"/>
    <mergeCell ref="BN6:BR6"/>
    <mergeCell ref="BL5:BL6"/>
    <mergeCell ref="BQ5:BR5"/>
    <mergeCell ref="BH5:BH6"/>
    <mergeCell ref="BI5:BJ6"/>
    <mergeCell ref="BK5:BK6"/>
    <mergeCell ref="D6:E6"/>
    <mergeCell ref="K6:L6"/>
    <mergeCell ref="R6:S6"/>
    <mergeCell ref="Y6:Z6"/>
    <mergeCell ref="AF6:AG6"/>
    <mergeCell ref="D5:E5"/>
    <mergeCell ref="K5:L5"/>
    <mergeCell ref="R5:S5"/>
    <mergeCell ref="Y5:Z5"/>
    <mergeCell ref="BN7:BT7"/>
    <mergeCell ref="D8:E8"/>
    <mergeCell ref="K8:L8"/>
    <mergeCell ref="R8:S8"/>
    <mergeCell ref="Y8:Z8"/>
    <mergeCell ref="AF8:AG8"/>
    <mergeCell ref="AM8:AN8"/>
    <mergeCell ref="AT8:AU8"/>
    <mergeCell ref="BA8:BB8"/>
    <mergeCell ref="BF8:BL8"/>
    <mergeCell ref="BN8:BR8"/>
    <mergeCell ref="D7:E7"/>
    <mergeCell ref="K7:L7"/>
    <mergeCell ref="R7:S7"/>
    <mergeCell ref="Y7:Z7"/>
    <mergeCell ref="AF7:AG7"/>
    <mergeCell ref="AM7:AN7"/>
    <mergeCell ref="AT7:AU7"/>
    <mergeCell ref="BA7:BB7"/>
    <mergeCell ref="D9:E9"/>
    <mergeCell ref="K9:L9"/>
    <mergeCell ref="R9:S9"/>
    <mergeCell ref="Y9:Z9"/>
    <mergeCell ref="AF9:AG9"/>
    <mergeCell ref="AM9:AN9"/>
    <mergeCell ref="AT9:AU9"/>
    <mergeCell ref="BA9:BB9"/>
    <mergeCell ref="BN9:BT9"/>
    <mergeCell ref="BN10:BR10"/>
    <mergeCell ref="D11:E11"/>
    <mergeCell ref="K11:L11"/>
    <mergeCell ref="P11:S11"/>
    <mergeCell ref="W11:Z11"/>
    <mergeCell ref="AF11:AG11"/>
    <mergeCell ref="AM11:AN11"/>
    <mergeCell ref="AR11:AU11"/>
    <mergeCell ref="AY11:BD11"/>
    <mergeCell ref="D10:E10"/>
    <mergeCell ref="K10:L10"/>
    <mergeCell ref="R10:S10"/>
    <mergeCell ref="Y10:Z10"/>
    <mergeCell ref="AF10:AG10"/>
    <mergeCell ref="AM10:AN10"/>
    <mergeCell ref="AT10:AU10"/>
    <mergeCell ref="AY10:BB10"/>
    <mergeCell ref="BF10:BL10"/>
    <mergeCell ref="BF13:BL14"/>
    <mergeCell ref="I14:N14"/>
    <mergeCell ref="P14:U14"/>
    <mergeCell ref="W14:AB14"/>
    <mergeCell ref="AD14:AI14"/>
    <mergeCell ref="BF11:BJ11"/>
    <mergeCell ref="B12:E12"/>
    <mergeCell ref="K12:L12"/>
    <mergeCell ref="P12:U12"/>
    <mergeCell ref="W12:AB12"/>
    <mergeCell ref="AF12:AG12"/>
    <mergeCell ref="AK12:AN12"/>
    <mergeCell ref="AR12:AW12"/>
    <mergeCell ref="BF12:BJ12"/>
    <mergeCell ref="AR14:AW14"/>
    <mergeCell ref="AY14:BD14"/>
    <mergeCell ref="P15:U15"/>
    <mergeCell ref="W15:AB15"/>
    <mergeCell ref="AK15:AP15"/>
    <mergeCell ref="AR15:AW15"/>
    <mergeCell ref="AY15:BD15"/>
    <mergeCell ref="B13:G13"/>
    <mergeCell ref="I13:L13"/>
    <mergeCell ref="AD13:AG13"/>
    <mergeCell ref="AK13:AP13"/>
    <mergeCell ref="AY13:BD13"/>
    <mergeCell ref="BF15:BL15"/>
    <mergeCell ref="B16:G16"/>
    <mergeCell ref="I16:N16"/>
    <mergeCell ref="P16:U16"/>
    <mergeCell ref="W16:AB16"/>
    <mergeCell ref="AD16:AI16"/>
    <mergeCell ref="AK16:AP16"/>
    <mergeCell ref="AR16:AW16"/>
    <mergeCell ref="AY16:BD16"/>
    <mergeCell ref="BF16:BF17"/>
    <mergeCell ref="BG16:BG17"/>
    <mergeCell ref="BH16:BH17"/>
    <mergeCell ref="BI16:BJ17"/>
    <mergeCell ref="BK16:BK17"/>
    <mergeCell ref="BL16:BL17"/>
    <mergeCell ref="B17:G17"/>
    <mergeCell ref="I17:N17"/>
    <mergeCell ref="P17:U17"/>
    <mergeCell ref="W17:AB17"/>
    <mergeCell ref="AD17:AI17"/>
    <mergeCell ref="AK17:AP17"/>
    <mergeCell ref="AR17:AW17"/>
    <mergeCell ref="AY17:BB17"/>
    <mergeCell ref="B15:G15"/>
    <mergeCell ref="B18:G18"/>
    <mergeCell ref="I18:N18"/>
    <mergeCell ref="P18:S18"/>
    <mergeCell ref="W18:Z18"/>
    <mergeCell ref="AD18:AI18"/>
    <mergeCell ref="AK18:AP18"/>
    <mergeCell ref="AR18:AU18"/>
    <mergeCell ref="AY18:BB18"/>
    <mergeCell ref="B19:E19"/>
    <mergeCell ref="I19:N19"/>
    <mergeCell ref="P19:S19"/>
    <mergeCell ref="W19:Z19"/>
    <mergeCell ref="AD19:AI19"/>
    <mergeCell ref="AK19:AN19"/>
    <mergeCell ref="AR19:AU19"/>
    <mergeCell ref="AY19:BB19"/>
    <mergeCell ref="BF19:BL19"/>
    <mergeCell ref="B20:E20"/>
    <mergeCell ref="I20:L20"/>
    <mergeCell ref="P20:S20"/>
    <mergeCell ref="W20:Z20"/>
    <mergeCell ref="AD20:AG20"/>
    <mergeCell ref="AK20:AN20"/>
    <mergeCell ref="AR20:AU20"/>
    <mergeCell ref="AY20:BB20"/>
    <mergeCell ref="AR21:AU21"/>
    <mergeCell ref="AY21:BB21"/>
    <mergeCell ref="BF21:BL21"/>
    <mergeCell ref="B22:E22"/>
    <mergeCell ref="I22:L22"/>
    <mergeCell ref="P22:S22"/>
    <mergeCell ref="W22:Z22"/>
    <mergeCell ref="AD22:AG22"/>
    <mergeCell ref="AK22:AN22"/>
    <mergeCell ref="AR22:AU22"/>
    <mergeCell ref="B21:E21"/>
    <mergeCell ref="I21:L21"/>
    <mergeCell ref="P21:S21"/>
    <mergeCell ref="W21:Z21"/>
    <mergeCell ref="AD21:AG21"/>
    <mergeCell ref="AK21:AN21"/>
    <mergeCell ref="BK22:BK23"/>
    <mergeCell ref="BL22:BL23"/>
    <mergeCell ref="B23:E23"/>
    <mergeCell ref="I23:L23"/>
    <mergeCell ref="P23:U23"/>
    <mergeCell ref="W23:AB23"/>
    <mergeCell ref="AD23:AG23"/>
    <mergeCell ref="AK23:AN23"/>
    <mergeCell ref="AR23:AW23"/>
    <mergeCell ref="AY22:BD22"/>
    <mergeCell ref="BF22:BF23"/>
    <mergeCell ref="BG22:BG23"/>
    <mergeCell ref="BH22:BH23"/>
    <mergeCell ref="BI22:BI23"/>
    <mergeCell ref="BJ22:BJ23"/>
    <mergeCell ref="B24:G24"/>
    <mergeCell ref="I24:L24"/>
    <mergeCell ref="AD24:AG24"/>
    <mergeCell ref="AK24:AP24"/>
    <mergeCell ref="BF24:BL24"/>
    <mergeCell ref="I25:N25"/>
    <mergeCell ref="AD25:AI25"/>
    <mergeCell ref="BF25:BF26"/>
    <mergeCell ref="BG25:BG26"/>
    <mergeCell ref="BH25:BH26"/>
    <mergeCell ref="BI25:BI26"/>
    <mergeCell ref="BJ25:BJ26"/>
    <mergeCell ref="BK25:BK26"/>
    <mergeCell ref="BL25:BL26"/>
    <mergeCell ref="BF27:BL27"/>
    <mergeCell ref="BF28:BF29"/>
    <mergeCell ref="BG28:BG29"/>
    <mergeCell ref="BH28:BH29"/>
    <mergeCell ref="BI28:BI29"/>
    <mergeCell ref="BJ28:BJ29"/>
    <mergeCell ref="BF33:BL33"/>
    <mergeCell ref="BF34:BF35"/>
    <mergeCell ref="BG34:BG35"/>
    <mergeCell ref="BH34:BH35"/>
    <mergeCell ref="BI34:BI35"/>
    <mergeCell ref="BJ34:BJ35"/>
    <mergeCell ref="BK34:BK35"/>
    <mergeCell ref="BL34:BL35"/>
    <mergeCell ref="BK28:BK29"/>
    <mergeCell ref="BL28:BL29"/>
    <mergeCell ref="BF30:BL30"/>
    <mergeCell ref="BF31:BF32"/>
    <mergeCell ref="BG31:BG32"/>
    <mergeCell ref="BH31:BH32"/>
    <mergeCell ref="BI31:BI32"/>
    <mergeCell ref="BJ31:BJ32"/>
    <mergeCell ref="BK31:BK32"/>
    <mergeCell ref="BL31:BL32"/>
    <mergeCell ref="BF39:BL39"/>
    <mergeCell ref="BF40:BJ40"/>
    <mergeCell ref="BF41:BJ41"/>
    <mergeCell ref="BF36:BL36"/>
    <mergeCell ref="BF37:BF38"/>
    <mergeCell ref="BG37:BG38"/>
    <mergeCell ref="BH37:BH38"/>
    <mergeCell ref="BI37:BI38"/>
    <mergeCell ref="BJ37:BJ38"/>
    <mergeCell ref="BK37:BK38"/>
    <mergeCell ref="BL37:BL38"/>
  </mergeCells>
  <pageMargins left="0.70866141732283472" right="0.70866141732283472" top="0.74803149606299213" bottom="0.74803149606299213" header="0.31496062992125984" footer="0.31496062992125984"/>
  <pageSetup paperSize="9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A15" sqref="A15"/>
    </sheetView>
  </sheetViews>
  <sheetFormatPr defaultColWidth="9.140625" defaultRowHeight="19.5" customHeight="1" x14ac:dyDescent="0.2"/>
  <cols>
    <col min="1" max="1" width="24.5703125" style="1" customWidth="1"/>
    <col min="2" max="2" width="20.85546875" style="1" customWidth="1"/>
    <col min="3" max="16384" width="9.140625" style="1"/>
  </cols>
  <sheetData>
    <row r="1" spans="1:2" ht="19.5" customHeight="1" thickBot="1" x14ac:dyDescent="0.25">
      <c r="A1" s="764" t="s">
        <v>364</v>
      </c>
      <c r="B1" s="765"/>
    </row>
    <row r="2" spans="1:2" s="101" customFormat="1" ht="19.5" customHeight="1" x14ac:dyDescent="0.2">
      <c r="A2" s="244" t="s">
        <v>200</v>
      </c>
      <c r="B2" s="245" t="s">
        <v>274</v>
      </c>
    </row>
    <row r="3" spans="1:2" ht="19.5" customHeight="1" x14ac:dyDescent="0.2">
      <c r="A3" s="151">
        <v>1</v>
      </c>
      <c r="B3" s="150">
        <v>33.629999999999995</v>
      </c>
    </row>
    <row r="4" spans="1:2" ht="19.5" customHeight="1" x14ac:dyDescent="0.2">
      <c r="A4" s="151">
        <v>2</v>
      </c>
      <c r="B4" s="150">
        <v>43.13</v>
      </c>
    </row>
    <row r="5" spans="1:2" ht="19.5" customHeight="1" x14ac:dyDescent="0.2">
      <c r="A5" s="151">
        <v>3</v>
      </c>
      <c r="B5" s="150">
        <v>48.68</v>
      </c>
    </row>
    <row r="6" spans="1:2" ht="19.5" customHeight="1" x14ac:dyDescent="0.2">
      <c r="A6" s="151">
        <v>4</v>
      </c>
      <c r="B6" s="150">
        <v>52.62</v>
      </c>
    </row>
    <row r="7" spans="1:2" ht="19.5" customHeight="1" x14ac:dyDescent="0.2">
      <c r="A7" s="151">
        <v>5</v>
      </c>
      <c r="B7" s="150">
        <v>55.679999999999993</v>
      </c>
    </row>
    <row r="8" spans="1:2" ht="19.5" customHeight="1" x14ac:dyDescent="0.2">
      <c r="A8" s="151">
        <v>6</v>
      </c>
      <c r="B8" s="150">
        <v>58.18</v>
      </c>
    </row>
    <row r="9" spans="1:2" ht="19.5" customHeight="1" x14ac:dyDescent="0.2">
      <c r="A9" s="151">
        <v>7</v>
      </c>
      <c r="B9" s="150">
        <v>60.29</v>
      </c>
    </row>
    <row r="10" spans="1:2" ht="19.5" customHeight="1" x14ac:dyDescent="0.2">
      <c r="A10" s="151">
        <v>8</v>
      </c>
      <c r="B10" s="150">
        <v>62.12</v>
      </c>
    </row>
    <row r="11" spans="1:2" ht="19.5" customHeight="1" x14ac:dyDescent="0.2">
      <c r="A11" s="151">
        <v>9</v>
      </c>
      <c r="B11" s="150">
        <v>63.73</v>
      </c>
    </row>
    <row r="12" spans="1:2" ht="19.5" customHeight="1" x14ac:dyDescent="0.2">
      <c r="A12" s="151">
        <v>10</v>
      </c>
      <c r="B12" s="150">
        <v>65.180000000000007</v>
      </c>
    </row>
    <row r="13" spans="1:2" ht="19.5" customHeight="1" x14ac:dyDescent="0.2">
      <c r="A13" s="151">
        <v>11</v>
      </c>
      <c r="B13" s="150">
        <v>66.47999999999999</v>
      </c>
    </row>
    <row r="14" spans="1:2" ht="19.5" customHeight="1" x14ac:dyDescent="0.2">
      <c r="A14" s="151">
        <v>12</v>
      </c>
      <c r="B14" s="150">
        <v>67.67</v>
      </c>
    </row>
    <row r="15" spans="1:2" ht="19.5" customHeight="1" x14ac:dyDescent="0.2">
      <c r="A15" s="151">
        <v>13</v>
      </c>
      <c r="B15" s="150">
        <v>68.77</v>
      </c>
    </row>
    <row r="16" spans="1:2" ht="19.5" customHeight="1" x14ac:dyDescent="0.2">
      <c r="A16" s="151">
        <v>14</v>
      </c>
      <c r="B16" s="150">
        <v>69.789999999999992</v>
      </c>
    </row>
    <row r="17" spans="1:2" ht="19.5" customHeight="1" thickBot="1" x14ac:dyDescent="0.25">
      <c r="A17" s="152">
        <v>15</v>
      </c>
      <c r="B17" s="153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A15" sqref="A15"/>
    </sheetView>
  </sheetViews>
  <sheetFormatPr defaultColWidth="9.140625"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228" t="s">
        <v>365</v>
      </c>
    </row>
    <row r="2" spans="1:1" x14ac:dyDescent="0.2">
      <c r="A2" s="225"/>
    </row>
    <row r="3" spans="1:1" x14ac:dyDescent="0.2">
      <c r="A3" s="225" t="s">
        <v>238</v>
      </c>
    </row>
    <row r="4" spans="1:1" x14ac:dyDescent="0.2">
      <c r="A4" s="225"/>
    </row>
    <row r="5" spans="1:1" x14ac:dyDescent="0.2">
      <c r="A5" s="225"/>
    </row>
    <row r="6" spans="1:1" x14ac:dyDescent="0.2">
      <c r="A6" s="225"/>
    </row>
    <row r="7" spans="1:1" x14ac:dyDescent="0.2">
      <c r="A7" s="225"/>
    </row>
    <row r="8" spans="1:1" x14ac:dyDescent="0.2">
      <c r="A8" s="225"/>
    </row>
    <row r="9" spans="1:1" x14ac:dyDescent="0.2">
      <c r="A9" s="225"/>
    </row>
    <row r="10" spans="1:1" x14ac:dyDescent="0.2">
      <c r="A10" s="225"/>
    </row>
    <row r="11" spans="1:1" x14ac:dyDescent="0.2">
      <c r="A11" s="225"/>
    </row>
    <row r="12" spans="1:1" ht="19.5" x14ac:dyDescent="0.35">
      <c r="A12" s="226" t="s">
        <v>220</v>
      </c>
    </row>
    <row r="13" spans="1:1" ht="15" x14ac:dyDescent="0.2">
      <c r="A13" s="226" t="s">
        <v>103</v>
      </c>
    </row>
    <row r="14" spans="1:1" ht="15" x14ac:dyDescent="0.2">
      <c r="A14" s="226" t="s">
        <v>107</v>
      </c>
    </row>
    <row r="15" spans="1:1" ht="19.5" x14ac:dyDescent="0.35">
      <c r="A15" s="226" t="s">
        <v>221</v>
      </c>
    </row>
    <row r="16" spans="1:1" ht="19.5" x14ac:dyDescent="0.35">
      <c r="A16" s="226" t="s">
        <v>222</v>
      </c>
    </row>
    <row r="17" spans="1:1" ht="15.75" thickBot="1" x14ac:dyDescent="0.25">
      <c r="A17" s="227" t="s">
        <v>104</v>
      </c>
    </row>
  </sheetData>
  <pageMargins left="0.90551181102362199" right="0.51181102362204722" top="0.74803149606299213" bottom="0.74803149606299213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4" workbookViewId="0">
      <selection activeCell="A15" sqref="A15"/>
    </sheetView>
  </sheetViews>
  <sheetFormatPr defaultColWidth="9.140625" defaultRowHeight="12.75" x14ac:dyDescent="0.2"/>
  <cols>
    <col min="1" max="1" width="58.28515625" style="254" customWidth="1"/>
    <col min="2" max="2" width="11.140625" style="254" bestFit="1" customWidth="1"/>
    <col min="3" max="3" width="13.28515625" style="254" bestFit="1" customWidth="1"/>
    <col min="4" max="16384" width="9.140625" style="254"/>
  </cols>
  <sheetData>
    <row r="1" spans="1:7" x14ac:dyDescent="0.2">
      <c r="A1" s="11" t="s">
        <v>191</v>
      </c>
    </row>
    <row r="2" spans="1:7" x14ac:dyDescent="0.2">
      <c r="A2" s="259" t="s">
        <v>250</v>
      </c>
    </row>
    <row r="3" spans="1:7" x14ac:dyDescent="0.2">
      <c r="A3" s="259" t="s">
        <v>275</v>
      </c>
    </row>
    <row r="4" spans="1:7" x14ac:dyDescent="0.2">
      <c r="A4" s="7" t="s">
        <v>273</v>
      </c>
    </row>
    <row r="5" spans="1:7" x14ac:dyDescent="0.2">
      <c r="A5" s="7"/>
    </row>
    <row r="6" spans="1:7" s="4" customFormat="1" ht="15.6" hidden="1" customHeight="1" x14ac:dyDescent="0.2">
      <c r="A6" s="275" t="s">
        <v>284</v>
      </c>
      <c r="B6" s="5"/>
      <c r="C6" s="5"/>
      <c r="D6" s="5"/>
      <c r="E6" s="5"/>
      <c r="F6" s="5"/>
      <c r="G6" s="6"/>
    </row>
    <row r="7" spans="1:7" s="4" customFormat="1" ht="16.5" customHeight="1" x14ac:dyDescent="0.2">
      <c r="A7" s="303" t="s">
        <v>291</v>
      </c>
      <c r="B7" s="5"/>
      <c r="C7" s="5"/>
      <c r="D7" s="6"/>
      <c r="E7" s="6"/>
      <c r="F7" s="6"/>
      <c r="G7" s="6"/>
    </row>
    <row r="8" spans="1:7" s="4" customFormat="1" ht="16.5" customHeight="1" x14ac:dyDescent="0.2">
      <c r="A8" s="303" t="s">
        <v>292</v>
      </c>
      <c r="B8" s="5"/>
      <c r="C8" s="5"/>
      <c r="D8" s="6"/>
      <c r="E8" s="6"/>
      <c r="F8" s="6"/>
      <c r="G8" s="6"/>
    </row>
    <row r="9" spans="1:7" ht="13.5" thickBot="1" x14ac:dyDescent="0.25"/>
    <row r="10" spans="1:7" ht="18" x14ac:dyDescent="0.25">
      <c r="A10" s="766" t="s">
        <v>366</v>
      </c>
      <c r="B10" s="767"/>
      <c r="C10" s="768"/>
    </row>
    <row r="11" spans="1:7" ht="18" x14ac:dyDescent="0.25">
      <c r="A11" s="271"/>
      <c r="B11" s="270"/>
      <c r="C11" s="272"/>
    </row>
    <row r="12" spans="1:7" s="101" customFormat="1" ht="15" x14ac:dyDescent="0.25">
      <c r="A12" s="260" t="s">
        <v>270</v>
      </c>
      <c r="B12" s="261" t="s">
        <v>251</v>
      </c>
      <c r="C12" s="262" t="s">
        <v>132</v>
      </c>
    </row>
    <row r="13" spans="1:7" ht="14.25" x14ac:dyDescent="0.2">
      <c r="A13" s="183" t="s">
        <v>259</v>
      </c>
      <c r="B13" s="263" t="s">
        <v>252</v>
      </c>
      <c r="C13" s="184">
        <v>6045</v>
      </c>
    </row>
    <row r="14" spans="1:7" ht="14.25" x14ac:dyDescent="0.2">
      <c r="A14" s="183" t="s">
        <v>260</v>
      </c>
      <c r="B14" s="263" t="s">
        <v>257</v>
      </c>
      <c r="C14" s="422">
        <v>0.44529999999999997</v>
      </c>
    </row>
    <row r="15" spans="1:7" ht="14.25" x14ac:dyDescent="0.2">
      <c r="A15" s="183" t="s">
        <v>261</v>
      </c>
      <c r="B15" s="263" t="s">
        <v>258</v>
      </c>
      <c r="C15" s="264">
        <f>C13*C14/1000</f>
        <v>2.6918384999999998</v>
      </c>
    </row>
    <row r="16" spans="1:7" ht="14.25" x14ac:dyDescent="0.2">
      <c r="A16" s="183" t="s">
        <v>267</v>
      </c>
      <c r="B16" s="263" t="s">
        <v>253</v>
      </c>
      <c r="C16" s="265">
        <f>(C15*30)</f>
        <v>80.755154999999988</v>
      </c>
    </row>
    <row r="17" spans="1:3" ht="14.25" x14ac:dyDescent="0.2">
      <c r="A17" s="183" t="s">
        <v>263</v>
      </c>
      <c r="B17" s="263" t="s">
        <v>91</v>
      </c>
      <c r="C17" s="268">
        <v>5</v>
      </c>
    </row>
    <row r="18" spans="1:3" ht="14.25" x14ac:dyDescent="0.2">
      <c r="A18" s="183" t="s">
        <v>262</v>
      </c>
      <c r="B18" s="263" t="s">
        <v>258</v>
      </c>
      <c r="C18" s="264">
        <f>IFERROR(C15*7/C17,0)</f>
        <v>3.7685738999999998</v>
      </c>
    </row>
    <row r="19" spans="1:3" ht="14.25" x14ac:dyDescent="0.2">
      <c r="A19" s="183" t="s">
        <v>254</v>
      </c>
      <c r="B19" s="263" t="s">
        <v>255</v>
      </c>
      <c r="C19" s="206">
        <v>500</v>
      </c>
    </row>
    <row r="20" spans="1:3" ht="14.25" x14ac:dyDescent="0.2">
      <c r="A20" s="183" t="s">
        <v>268</v>
      </c>
      <c r="B20" s="263"/>
      <c r="C20" s="184">
        <v>1</v>
      </c>
    </row>
    <row r="21" spans="1:3" ht="14.25" x14ac:dyDescent="0.2">
      <c r="A21" s="183" t="s">
        <v>269</v>
      </c>
      <c r="B21" s="263" t="s">
        <v>256</v>
      </c>
      <c r="C21" s="184">
        <v>12</v>
      </c>
    </row>
    <row r="22" spans="1:3" ht="14.25" x14ac:dyDescent="0.2">
      <c r="A22" s="183" t="s">
        <v>264</v>
      </c>
      <c r="B22" s="263" t="s">
        <v>253</v>
      </c>
      <c r="C22" s="265">
        <f>IF(AND(C21&gt;=15,C20=1),5.8,C21/2)</f>
        <v>6</v>
      </c>
    </row>
    <row r="23" spans="1:3" ht="14.25" x14ac:dyDescent="0.2">
      <c r="A23" s="183" t="s">
        <v>265</v>
      </c>
      <c r="B23" s="263"/>
      <c r="C23" s="264">
        <f>IFERROR(C18/C22,0)</f>
        <v>0.62809565000000001</v>
      </c>
    </row>
    <row r="24" spans="1:3" ht="14.25" x14ac:dyDescent="0.2">
      <c r="A24" s="183" t="s">
        <v>271</v>
      </c>
      <c r="B24" s="263"/>
      <c r="C24" s="268">
        <v>1</v>
      </c>
    </row>
    <row r="25" spans="1:3" ht="15" thickBot="1" x14ac:dyDescent="0.25">
      <c r="A25" s="266" t="s">
        <v>266</v>
      </c>
      <c r="B25" s="267"/>
      <c r="C25" s="269">
        <f>IFERROR(C23/C24,0)</f>
        <v>0.62809565000000001</v>
      </c>
    </row>
    <row r="26" spans="1:3" ht="14.25" x14ac:dyDescent="0.2">
      <c r="A26" s="135"/>
      <c r="B26" s="135"/>
      <c r="C26" s="283"/>
    </row>
    <row r="27" spans="1:3" ht="14.25" x14ac:dyDescent="0.2">
      <c r="A27" s="135" t="s">
        <v>295</v>
      </c>
    </row>
    <row r="28" spans="1:3" x14ac:dyDescent="0.2">
      <c r="A28" s="254" t="s">
        <v>296</v>
      </c>
    </row>
    <row r="29" spans="1:3" x14ac:dyDescent="0.2">
      <c r="A29" s="254" t="s">
        <v>297</v>
      </c>
    </row>
    <row r="30" spans="1:3" x14ac:dyDescent="0.2">
      <c r="A30" s="254" t="s">
        <v>293</v>
      </c>
    </row>
    <row r="31" spans="1:3" x14ac:dyDescent="0.2">
      <c r="A31" s="254" t="s">
        <v>298</v>
      </c>
    </row>
    <row r="32" spans="1:3" x14ac:dyDescent="0.2">
      <c r="A32" s="254" t="s">
        <v>299</v>
      </c>
    </row>
    <row r="33" spans="1:1" x14ac:dyDescent="0.2">
      <c r="A33" s="254" t="s">
        <v>300</v>
      </c>
    </row>
    <row r="34" spans="1:1" x14ac:dyDescent="0.2">
      <c r="A34" s="254" t="s">
        <v>301</v>
      </c>
    </row>
    <row r="35" spans="1:1" x14ac:dyDescent="0.2">
      <c r="A35" s="254" t="s">
        <v>294</v>
      </c>
    </row>
  </sheetData>
  <mergeCells count="1">
    <mergeCell ref="A10:C10"/>
  </mergeCells>
  <conditionalFormatting sqref="C22">
    <cfRule type="expression" dxfId="0" priority="1">
      <formula>"SE(E(C20&gt;=15;C19=1))"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9"/>
  <sheetViews>
    <sheetView topLeftCell="A227" zoomScaleNormal="100" zoomScaleSheetLayoutView="100" workbookViewId="0">
      <selection activeCell="A15" sqref="A15:F15"/>
    </sheetView>
  </sheetViews>
  <sheetFormatPr defaultColWidth="9.140625" defaultRowHeight="12.75" x14ac:dyDescent="0.2"/>
  <cols>
    <col min="1" max="1" width="44.5703125" style="9" customWidth="1"/>
    <col min="2" max="2" width="16" style="9" bestFit="1" customWidth="1"/>
    <col min="3" max="3" width="11.85546875" style="9" customWidth="1"/>
    <col min="4" max="4" width="14.7109375" style="10" customWidth="1"/>
    <col min="5" max="5" width="15.42578125" style="10" customWidth="1"/>
    <col min="6" max="6" width="13.28515625" style="10" customWidth="1"/>
    <col min="7" max="7" width="28.140625" style="10" customWidth="1"/>
    <col min="8" max="8" width="9.140625" style="9"/>
    <col min="9" max="9" width="14.5703125" style="9" customWidth="1"/>
    <col min="10" max="10" width="13.42578125" style="9" customWidth="1"/>
    <col min="11" max="16384" width="9.140625" style="9"/>
  </cols>
  <sheetData>
    <row r="1" spans="1:7" ht="15.75" hidden="1" x14ac:dyDescent="0.2">
      <c r="A1" s="53" t="s">
        <v>191</v>
      </c>
    </row>
    <row r="2" spans="1:7" ht="15.75" hidden="1" x14ac:dyDescent="0.2">
      <c r="A2" s="303" t="s">
        <v>276</v>
      </c>
    </row>
    <row r="3" spans="1:7" ht="15.75" hidden="1" x14ac:dyDescent="0.2">
      <c r="A3" s="303" t="s">
        <v>277</v>
      </c>
    </row>
    <row r="4" spans="1:7" ht="15.75" hidden="1" x14ac:dyDescent="0.2">
      <c r="A4" s="303" t="s">
        <v>279</v>
      </c>
    </row>
    <row r="5" spans="1:7" s="4" customFormat="1" ht="15.6" hidden="1" customHeight="1" x14ac:dyDescent="0.2">
      <c r="A5" s="53" t="s">
        <v>273</v>
      </c>
      <c r="C5" s="5"/>
      <c r="D5" s="5"/>
      <c r="E5" s="5"/>
      <c r="F5" s="5"/>
      <c r="G5" s="6"/>
    </row>
    <row r="6" spans="1:7" s="4" customFormat="1" ht="15.6" hidden="1" customHeight="1" x14ac:dyDescent="0.2">
      <c r="A6" s="274" t="s">
        <v>278</v>
      </c>
      <c r="B6" s="5"/>
      <c r="C6" s="5"/>
      <c r="D6" s="5"/>
      <c r="E6" s="5"/>
      <c r="F6" s="5"/>
      <c r="G6" s="6"/>
    </row>
    <row r="7" spans="1:7" s="4" customFormat="1" ht="15.6" hidden="1" customHeight="1" x14ac:dyDescent="0.2">
      <c r="A7" s="7"/>
      <c r="B7" s="5"/>
      <c r="C7" s="5"/>
      <c r="D7" s="5"/>
      <c r="E7" s="5"/>
      <c r="F7" s="5"/>
      <c r="G7" s="6"/>
    </row>
    <row r="8" spans="1:7" s="4" customFormat="1" ht="15.6" hidden="1" customHeight="1" x14ac:dyDescent="0.2">
      <c r="A8" s="275" t="s">
        <v>284</v>
      </c>
      <c r="B8" s="5"/>
      <c r="C8" s="5"/>
      <c r="D8" s="5"/>
      <c r="E8" s="5"/>
      <c r="F8" s="5"/>
      <c r="G8" s="6"/>
    </row>
    <row r="9" spans="1:7" s="4" customFormat="1" ht="15.6" hidden="1" customHeight="1" x14ac:dyDescent="0.2">
      <c r="A9" s="303" t="s">
        <v>281</v>
      </c>
      <c r="B9" s="5"/>
      <c r="C9" s="5"/>
      <c r="D9" s="5"/>
      <c r="E9" s="5"/>
      <c r="F9" s="5"/>
      <c r="G9" s="6"/>
    </row>
    <row r="10" spans="1:7" s="4" customFormat="1" ht="16.5" hidden="1" customHeight="1" x14ac:dyDescent="0.2">
      <c r="A10" s="7"/>
      <c r="B10" s="5"/>
      <c r="C10" s="5"/>
      <c r="D10" s="6"/>
      <c r="E10" s="6"/>
      <c r="F10" s="6"/>
      <c r="G10" s="6"/>
    </row>
    <row r="11" spans="1:7" s="4" customFormat="1" ht="16.5" customHeight="1" thickBot="1" x14ac:dyDescent="0.25">
      <c r="A11" s="138" t="s">
        <v>472</v>
      </c>
      <c r="B11" s="5"/>
      <c r="C11" s="5"/>
      <c r="D11" s="6"/>
      <c r="E11" s="6"/>
      <c r="F11" s="6"/>
      <c r="G11" s="6"/>
    </row>
    <row r="12" spans="1:7" s="8" customFormat="1" ht="18" x14ac:dyDescent="0.2">
      <c r="A12" s="590" t="s">
        <v>418</v>
      </c>
      <c r="B12" s="591"/>
      <c r="C12" s="591"/>
      <c r="D12" s="591"/>
      <c r="E12" s="591"/>
      <c r="F12" s="592"/>
      <c r="G12" s="35"/>
    </row>
    <row r="13" spans="1:7" s="8" customFormat="1" ht="21.75" customHeight="1" x14ac:dyDescent="0.2">
      <c r="A13" s="593" t="s">
        <v>45</v>
      </c>
      <c r="B13" s="594"/>
      <c r="C13" s="594"/>
      <c r="D13" s="594"/>
      <c r="E13" s="594"/>
      <c r="F13" s="595"/>
      <c r="G13" s="35"/>
    </row>
    <row r="14" spans="1:7" s="4" customFormat="1" ht="10.9" customHeight="1" thickBot="1" x14ac:dyDescent="0.25">
      <c r="A14" s="139"/>
      <c r="B14" s="5"/>
      <c r="C14" s="5"/>
      <c r="D14" s="140"/>
      <c r="E14" s="140"/>
      <c r="F14" s="141"/>
      <c r="G14" s="6"/>
    </row>
    <row r="15" spans="1:7" s="4" customFormat="1" ht="15.75" customHeight="1" thickBot="1" x14ac:dyDescent="0.25">
      <c r="A15" s="599" t="s">
        <v>190</v>
      </c>
      <c r="B15" s="600"/>
      <c r="C15" s="600"/>
      <c r="D15" s="600"/>
      <c r="E15" s="600"/>
      <c r="F15" s="601"/>
      <c r="G15" s="6"/>
    </row>
    <row r="16" spans="1:7" s="4" customFormat="1" ht="15.75" customHeight="1" x14ac:dyDescent="0.2">
      <c r="A16" s="61" t="s">
        <v>189</v>
      </c>
      <c r="B16" s="39"/>
      <c r="C16" s="39"/>
      <c r="D16" s="239"/>
      <c r="E16" s="108" t="s">
        <v>40</v>
      </c>
      <c r="F16" s="40" t="s">
        <v>2</v>
      </c>
      <c r="G16" s="6"/>
    </row>
    <row r="17" spans="1:7" s="11" customFormat="1" ht="15.75" customHeight="1" x14ac:dyDescent="0.2">
      <c r="A17" s="117" t="str">
        <f>A56</f>
        <v>1. Mão-de-obra</v>
      </c>
      <c r="B17" s="118"/>
      <c r="C17" s="119"/>
      <c r="D17" s="119"/>
      <c r="E17" s="236">
        <f>+F153</f>
        <v>9276.3989638839666</v>
      </c>
      <c r="F17" s="120">
        <f>IFERROR(E17/$E$39,0)</f>
        <v>0.42994943722147688</v>
      </c>
      <c r="G17" s="43"/>
    </row>
    <row r="18" spans="1:7" s="4" customFormat="1" ht="15.75" customHeight="1" x14ac:dyDescent="0.2">
      <c r="A18" s="48" t="str">
        <f>A58</f>
        <v>1.1. Coletor Turno Dia CBO 5142</v>
      </c>
      <c r="B18" s="44"/>
      <c r="C18" s="46"/>
      <c r="D18" s="46"/>
      <c r="E18" s="237">
        <f>F69</f>
        <v>5585.4498823695176</v>
      </c>
      <c r="F18" s="55">
        <f>IFERROR(E18/$E$39,0)</f>
        <v>0.25887858455670198</v>
      </c>
      <c r="G18" s="6"/>
    </row>
    <row r="19" spans="1:7" s="4" customFormat="1" ht="15.75" hidden="1" customHeight="1" x14ac:dyDescent="0.2">
      <c r="A19" s="48" t="str">
        <f>A71</f>
        <v>1.2. Coletor Turno Noite</v>
      </c>
      <c r="B19" s="44"/>
      <c r="C19" s="46"/>
      <c r="D19" s="46"/>
      <c r="E19" s="237">
        <f>F88</f>
        <v>0</v>
      </c>
      <c r="F19" s="55">
        <f t="shared" ref="F19:F38" si="0">IFERROR(E19/$E$39,0)</f>
        <v>0</v>
      </c>
      <c r="G19" s="6"/>
    </row>
    <row r="20" spans="1:7" s="4" customFormat="1" ht="15.75" customHeight="1" x14ac:dyDescent="0.2">
      <c r="A20" s="48" t="str">
        <f>A90</f>
        <v>1.2. Motorista Turno do Dia</v>
      </c>
      <c r="B20" s="44"/>
      <c r="C20" s="46"/>
      <c r="D20" s="46"/>
      <c r="E20" s="237">
        <f>F103</f>
        <v>1998.3701528780853</v>
      </c>
      <c r="F20" s="55">
        <f t="shared" si="0"/>
        <v>9.2621945858006621E-2</v>
      </c>
      <c r="G20" s="406"/>
    </row>
    <row r="21" spans="1:7" s="4" customFormat="1" ht="15.75" customHeight="1" x14ac:dyDescent="0.2">
      <c r="A21" s="48" t="str">
        <f>A106</f>
        <v>1.3. Encarregado/Supervisor</v>
      </c>
      <c r="B21" s="44"/>
      <c r="C21" s="46"/>
      <c r="D21" s="46"/>
      <c r="E21" s="237">
        <f>F125</f>
        <v>481.12312499999996</v>
      </c>
      <c r="F21" s="55">
        <f t="shared" si="0"/>
        <v>2.22994523665224E-2</v>
      </c>
      <c r="G21" s="6"/>
    </row>
    <row r="22" spans="1:7" s="4" customFormat="1" ht="15.75" customHeight="1" x14ac:dyDescent="0.2">
      <c r="A22" s="48" t="str">
        <f>A127</f>
        <v>1.4. Vale Transporte</v>
      </c>
      <c r="B22" s="44"/>
      <c r="C22" s="46"/>
      <c r="D22" s="46"/>
      <c r="E22" s="237">
        <f>F133</f>
        <v>226.5822</v>
      </c>
      <c r="F22" s="55">
        <f t="shared" si="0"/>
        <v>1.0501800294886787E-2</v>
      </c>
      <c r="G22" s="6"/>
    </row>
    <row r="23" spans="1:7" s="4" customFormat="1" ht="15.75" customHeight="1" x14ac:dyDescent="0.2">
      <c r="A23" s="48" t="str">
        <f>A135</f>
        <v>1.5. Vale Lanche (diário)</v>
      </c>
      <c r="B23" s="44"/>
      <c r="C23" s="46"/>
      <c r="D23" s="46"/>
      <c r="E23" s="237">
        <f>F139</f>
        <v>914.45120000000009</v>
      </c>
      <c r="F23" s="55">
        <f t="shared" si="0"/>
        <v>4.2383664214662831E-2</v>
      </c>
      <c r="G23" s="6"/>
    </row>
    <row r="24" spans="1:7" s="4" customFormat="1" ht="15.75" customHeight="1" x14ac:dyDescent="0.2">
      <c r="A24" s="48" t="str">
        <f>A141</f>
        <v>1.6. Auxílio Alimentação (mensal)</v>
      </c>
      <c r="B24" s="44"/>
      <c r="C24" s="46"/>
      <c r="D24" s="46"/>
      <c r="E24" s="237">
        <f>F145</f>
        <v>45.238194545454554</v>
      </c>
      <c r="F24" s="55">
        <f t="shared" si="0"/>
        <v>2.0967334804658107E-3</v>
      </c>
      <c r="G24" s="6"/>
    </row>
    <row r="25" spans="1:7" s="4" customFormat="1" ht="15.75" customHeight="1" x14ac:dyDescent="0.2">
      <c r="A25" s="48" t="str">
        <f>A147</f>
        <v xml:space="preserve">1.7. Plano de Benefício Social  </v>
      </c>
      <c r="B25" s="44"/>
      <c r="C25" s="46"/>
      <c r="D25" s="46"/>
      <c r="E25" s="237">
        <f>F151</f>
        <v>25.184209090909093</v>
      </c>
      <c r="F25" s="55">
        <f t="shared" ref="F25" si="1">IFERROR(E25/$E$39,0)</f>
        <v>1.1672564502304224E-3</v>
      </c>
      <c r="G25" s="6"/>
    </row>
    <row r="26" spans="1:7" s="11" customFormat="1" ht="15.75" customHeight="1" x14ac:dyDescent="0.2">
      <c r="A26" s="588" t="str">
        <f>A155</f>
        <v>2. Uniformes e Equipamentos de Proteção Individual</v>
      </c>
      <c r="B26" s="589"/>
      <c r="C26" s="589"/>
      <c r="D26" s="119"/>
      <c r="E26" s="236">
        <f>+F184</f>
        <v>175.72247159090909</v>
      </c>
      <c r="F26" s="120">
        <f t="shared" si="0"/>
        <v>8.1445157826680291E-3</v>
      </c>
      <c r="G26" s="43"/>
    </row>
    <row r="27" spans="1:7" s="11" customFormat="1" ht="15.75" customHeight="1" x14ac:dyDescent="0.2">
      <c r="A27" s="128" t="str">
        <f>A186</f>
        <v>3. Veículos e Equipamentos</v>
      </c>
      <c r="B27" s="129"/>
      <c r="C27" s="119"/>
      <c r="D27" s="119"/>
      <c r="E27" s="236">
        <f>+F265</f>
        <v>7052.2465981809009</v>
      </c>
      <c r="F27" s="120">
        <f t="shared" si="0"/>
        <v>0.32686276946905152</v>
      </c>
      <c r="G27" s="43"/>
    </row>
    <row r="28" spans="1:7" s="4" customFormat="1" ht="15.75" customHeight="1" x14ac:dyDescent="0.2">
      <c r="A28" s="62" t="str">
        <f>A187</f>
        <v>3.1. Veículo Coletor com compactador</v>
      </c>
      <c r="B28" s="45"/>
      <c r="C28" s="46"/>
      <c r="D28" s="46"/>
      <c r="E28" s="237">
        <f>SUM(E29:E34)</f>
        <v>7052.2465981809009</v>
      </c>
      <c r="F28" s="134">
        <f t="shared" si="0"/>
        <v>0.32686276946905152</v>
      </c>
      <c r="G28" s="6"/>
    </row>
    <row r="29" spans="1:7" s="4" customFormat="1" ht="15.75" customHeight="1" x14ac:dyDescent="0.2">
      <c r="A29" s="62" t="str">
        <f>A188</f>
        <v>3.1.1. Depreciação</v>
      </c>
      <c r="B29" s="45"/>
      <c r="C29" s="46"/>
      <c r="D29" s="46"/>
      <c r="E29" s="237">
        <f>F203</f>
        <v>1029.4773625000005</v>
      </c>
      <c r="F29" s="134">
        <f t="shared" si="0"/>
        <v>4.7714982329069872E-2</v>
      </c>
      <c r="G29" s="6"/>
    </row>
    <row r="30" spans="1:7" s="4" customFormat="1" ht="15.75" customHeight="1" x14ac:dyDescent="0.2">
      <c r="A30" s="62" t="str">
        <f>A205</f>
        <v>3.1.2. Remuneração do Capital</v>
      </c>
      <c r="B30" s="45"/>
      <c r="C30" s="46"/>
      <c r="D30" s="46"/>
      <c r="E30" s="237">
        <f>F220</f>
        <v>1116.1726868750004</v>
      </c>
      <c r="F30" s="134">
        <f t="shared" si="0"/>
        <v>5.173320169090271E-2</v>
      </c>
      <c r="G30" s="6"/>
    </row>
    <row r="31" spans="1:7" s="4" customFormat="1" ht="15.75" customHeight="1" x14ac:dyDescent="0.2">
      <c r="A31" s="62" t="str">
        <f>A222</f>
        <v>3.1.3. Impostos e Seguros</v>
      </c>
      <c r="B31" s="45"/>
      <c r="C31" s="46"/>
      <c r="D31" s="46"/>
      <c r="E31" s="237">
        <f>F228</f>
        <v>217.11250568181819</v>
      </c>
      <c r="F31" s="134">
        <f t="shared" si="0"/>
        <v>1.0062891860847531E-2</v>
      </c>
      <c r="G31" s="6"/>
    </row>
    <row r="32" spans="1:7" s="4" customFormat="1" ht="15.75" customHeight="1" x14ac:dyDescent="0.2">
      <c r="A32" s="62" t="str">
        <f>A230</f>
        <v>3.1.4. Consumos</v>
      </c>
      <c r="B32" s="45"/>
      <c r="C32" s="46"/>
      <c r="D32" s="46"/>
      <c r="E32" s="237">
        <f>F248</f>
        <v>3480.4316866955101</v>
      </c>
      <c r="F32" s="134">
        <f t="shared" si="0"/>
        <v>0.16131363590640493</v>
      </c>
      <c r="G32" s="6"/>
    </row>
    <row r="33" spans="1:7" s="4" customFormat="1" ht="15.75" customHeight="1" x14ac:dyDescent="0.2">
      <c r="A33" s="62" t="str">
        <f>A250</f>
        <v>3.1.5. Manutenção</v>
      </c>
      <c r="B33" s="45"/>
      <c r="C33" s="46"/>
      <c r="D33" s="46"/>
      <c r="E33" s="237">
        <f>F253</f>
        <v>885.50313428571428</v>
      </c>
      <c r="F33" s="134">
        <f t="shared" si="0"/>
        <v>4.1041957738802468E-2</v>
      </c>
      <c r="G33" s="6"/>
    </row>
    <row r="34" spans="1:7" s="4" customFormat="1" ht="15.75" customHeight="1" x14ac:dyDescent="0.2">
      <c r="A34" s="62" t="str">
        <f>A255</f>
        <v>3.1.6. Pneus</v>
      </c>
      <c r="B34" s="45"/>
      <c r="C34" s="46"/>
      <c r="D34" s="46"/>
      <c r="E34" s="237">
        <f>F262</f>
        <v>323.5492221428571</v>
      </c>
      <c r="F34" s="134">
        <f t="shared" si="0"/>
        <v>1.4996099943023975E-2</v>
      </c>
      <c r="G34" s="6"/>
    </row>
    <row r="35" spans="1:7" s="11" customFormat="1" ht="15.75" customHeight="1" x14ac:dyDescent="0.2">
      <c r="A35" s="128" t="str">
        <f>A267</f>
        <v xml:space="preserve">4. Ferramentas, Materiais de Consumo </v>
      </c>
      <c r="B35" s="129"/>
      <c r="C35" s="119"/>
      <c r="D35" s="119"/>
      <c r="E35" s="236">
        <f>+F275</f>
        <v>17.833333333333332</v>
      </c>
      <c r="F35" s="120">
        <f t="shared" si="0"/>
        <v>8.2655259441745356E-4</v>
      </c>
      <c r="G35" s="43"/>
    </row>
    <row r="36" spans="1:7" s="11" customFormat="1" ht="15.75" customHeight="1" x14ac:dyDescent="0.2">
      <c r="A36" s="128" t="str">
        <f>A277</f>
        <v xml:space="preserve">5. Administração Local </v>
      </c>
      <c r="B36" s="129"/>
      <c r="C36" s="119"/>
      <c r="D36" s="119"/>
      <c r="E36" s="236">
        <f>F286</f>
        <v>382.5</v>
      </c>
      <c r="F36" s="120">
        <f t="shared" si="0"/>
        <v>1.7728394431664074E-2</v>
      </c>
      <c r="G36" s="43"/>
    </row>
    <row r="37" spans="1:7" s="11" customFormat="1" ht="15.75" customHeight="1" x14ac:dyDescent="0.2">
      <c r="A37" s="128" t="str">
        <f>A288</f>
        <v>6. Monitoramento da Frota</v>
      </c>
      <c r="B37" s="129"/>
      <c r="C37" s="119"/>
      <c r="D37" s="119"/>
      <c r="E37" s="236">
        <f>+F297</f>
        <v>55.88181818181819</v>
      </c>
      <c r="F37" s="120">
        <f t="shared" si="0"/>
        <v>2.5900520634923132E-3</v>
      </c>
      <c r="G37" s="43"/>
    </row>
    <row r="38" spans="1:7" s="11" customFormat="1" ht="15.75" customHeight="1" thickBot="1" x14ac:dyDescent="0.25">
      <c r="A38" s="128" t="str">
        <f>A301</f>
        <v>7. Benefícios e Despesas Indiretas - BDI</v>
      </c>
      <c r="B38" s="129"/>
      <c r="C38" s="119"/>
      <c r="D38" s="119"/>
      <c r="E38" s="238">
        <f>+F307</f>
        <v>4614.9746846850094</v>
      </c>
      <c r="F38" s="120">
        <f t="shared" si="0"/>
        <v>0.21389827843722978</v>
      </c>
      <c r="G38" s="43"/>
    </row>
    <row r="39" spans="1:7" s="4" customFormat="1" ht="15.75" customHeight="1" thickBot="1" x14ac:dyDescent="0.25">
      <c r="A39" s="41" t="s">
        <v>227</v>
      </c>
      <c r="B39" s="42"/>
      <c r="C39" s="26"/>
      <c r="D39" s="26"/>
      <c r="E39" s="107">
        <f>E17+E26+E27+E35+E37+E38+E36</f>
        <v>21575.557869855937</v>
      </c>
      <c r="F39" s="133">
        <f>F17+F26+F27+F35+F37+F38+F36</f>
        <v>0.99999999999999989</v>
      </c>
      <c r="G39" s="6"/>
    </row>
    <row r="41" spans="1:7" ht="13.5" thickBot="1" x14ac:dyDescent="0.25"/>
    <row r="42" spans="1:7" s="4" customFormat="1" ht="15" customHeight="1" thickBot="1" x14ac:dyDescent="0.25">
      <c r="A42" s="599" t="s">
        <v>95</v>
      </c>
      <c r="B42" s="600"/>
      <c r="C42" s="600"/>
      <c r="D42" s="600"/>
      <c r="E42" s="601"/>
      <c r="F42" s="10"/>
      <c r="G42" s="6"/>
    </row>
    <row r="43" spans="1:7" s="4" customFormat="1" ht="15" customHeight="1" thickBot="1" x14ac:dyDescent="0.25">
      <c r="A43" s="596" t="s">
        <v>41</v>
      </c>
      <c r="B43" s="597"/>
      <c r="C43" s="597"/>
      <c r="D43" s="598"/>
      <c r="E43" s="47" t="s">
        <v>42</v>
      </c>
      <c r="F43" s="10"/>
      <c r="G43" s="6"/>
    </row>
    <row r="44" spans="1:7" s="4" customFormat="1" ht="15" customHeight="1" x14ac:dyDescent="0.2">
      <c r="A44" s="70" t="str">
        <f>+A58</f>
        <v>1.1. Coletor Turno Dia CBO 5142</v>
      </c>
      <c r="B44" s="71"/>
      <c r="C44" s="71"/>
      <c r="D44" s="72"/>
      <c r="E44" s="73">
        <v>3</v>
      </c>
      <c r="F44" s="10"/>
      <c r="G44" s="6"/>
    </row>
    <row r="45" spans="1:7" s="4" customFormat="1" ht="15" hidden="1" customHeight="1" x14ac:dyDescent="0.2">
      <c r="A45" s="64" t="str">
        <f>+A71</f>
        <v>1.2. Coletor Turno Noite</v>
      </c>
      <c r="B45" s="63"/>
      <c r="C45" s="63"/>
      <c r="D45" s="74"/>
      <c r="E45" s="67">
        <f>C87</f>
        <v>0</v>
      </c>
      <c r="F45" s="10"/>
      <c r="G45" s="6"/>
    </row>
    <row r="46" spans="1:7" s="4" customFormat="1" ht="15" customHeight="1" x14ac:dyDescent="0.2">
      <c r="A46" s="64" t="str">
        <f>+A90</f>
        <v>1.2. Motorista Turno do Dia</v>
      </c>
      <c r="B46" s="63"/>
      <c r="C46" s="63"/>
      <c r="D46" s="74"/>
      <c r="E46" s="67">
        <f>C102</f>
        <v>1</v>
      </c>
      <c r="F46" s="10"/>
      <c r="G46" s="6"/>
    </row>
    <row r="47" spans="1:7" s="4" customFormat="1" ht="15" customHeight="1" x14ac:dyDescent="0.2">
      <c r="A47" s="64" t="str">
        <f>+A106</f>
        <v>1.3. Encarregado/Supervisor</v>
      </c>
      <c r="B47" s="63"/>
      <c r="C47" s="63"/>
      <c r="D47" s="74"/>
      <c r="E47" s="67">
        <f>C124</f>
        <v>1</v>
      </c>
      <c r="F47" s="10"/>
      <c r="G47" s="6"/>
    </row>
    <row r="48" spans="1:7" s="4" customFormat="1" ht="15" customHeight="1" thickBot="1" x14ac:dyDescent="0.25">
      <c r="A48" s="68" t="s">
        <v>60</v>
      </c>
      <c r="B48" s="69"/>
      <c r="C48" s="69"/>
      <c r="D48" s="75"/>
      <c r="E48" s="76">
        <f>SUM(E44:E47)</f>
        <v>5</v>
      </c>
      <c r="F48" s="10"/>
      <c r="G48" s="6"/>
    </row>
    <row r="49" spans="1:7" s="4" customFormat="1" ht="15" customHeight="1" thickBot="1" x14ac:dyDescent="0.25">
      <c r="A49" s="121"/>
      <c r="B49" s="122"/>
      <c r="C49" s="56"/>
      <c r="D49" s="56"/>
      <c r="E49" s="123"/>
      <c r="F49" s="10"/>
      <c r="G49" s="6"/>
    </row>
    <row r="50" spans="1:7" s="4" customFormat="1" ht="15" customHeight="1" x14ac:dyDescent="0.2">
      <c r="A50" s="586" t="s">
        <v>58</v>
      </c>
      <c r="B50" s="587"/>
      <c r="C50" s="587"/>
      <c r="D50" s="587"/>
      <c r="E50" s="47" t="s">
        <v>42</v>
      </c>
      <c r="F50" s="9"/>
      <c r="G50" s="6"/>
    </row>
    <row r="51" spans="1:7" s="4" customFormat="1" ht="15" customHeight="1" thickBot="1" x14ac:dyDescent="0.25">
      <c r="A51" s="124" t="str">
        <f>+A187</f>
        <v>3.1. Veículo Coletor com compactador</v>
      </c>
      <c r="B51" s="125"/>
      <c r="C51" s="125"/>
      <c r="D51" s="126"/>
      <c r="E51" s="127">
        <f>C202</f>
        <v>1</v>
      </c>
      <c r="F51" s="9"/>
      <c r="G51" s="6"/>
    </row>
    <row r="52" spans="1:7" s="4" customFormat="1" ht="15" customHeight="1" x14ac:dyDescent="0.2">
      <c r="A52" s="56"/>
      <c r="B52" s="56"/>
      <c r="C52" s="56"/>
      <c r="D52" s="9"/>
      <c r="E52" s="229"/>
      <c r="F52" s="9"/>
      <c r="G52" s="6"/>
    </row>
    <row r="53" spans="1:7" s="4" customFormat="1" ht="13.5" thickBot="1" x14ac:dyDescent="0.25">
      <c r="A53" s="56"/>
      <c r="B53" s="56"/>
      <c r="C53" s="56"/>
      <c r="D53" s="9"/>
      <c r="E53" s="65"/>
      <c r="F53" s="9"/>
      <c r="G53" s="6"/>
    </row>
    <row r="54" spans="1:7" s="11" customFormat="1" ht="15.75" customHeight="1" thickBot="1" x14ac:dyDescent="0.25">
      <c r="A54" s="240" t="s">
        <v>185</v>
      </c>
      <c r="B54" s="285">
        <f>'11. Horários'!G26</f>
        <v>0.43227272727272725</v>
      </c>
      <c r="C54" s="34"/>
      <c r="E54" s="142"/>
      <c r="G54" s="43"/>
    </row>
    <row r="55" spans="1:7" s="4" customFormat="1" ht="15.75" customHeight="1" x14ac:dyDescent="0.2">
      <c r="A55" s="56"/>
      <c r="B55" s="56"/>
      <c r="C55" s="56"/>
      <c r="D55" s="9"/>
      <c r="E55" s="65"/>
      <c r="F55" s="9"/>
      <c r="G55" s="6"/>
    </row>
    <row r="56" spans="1:7" ht="13.15" customHeight="1" x14ac:dyDescent="0.2">
      <c r="A56" s="11" t="s">
        <v>49</v>
      </c>
    </row>
    <row r="57" spans="1:7" ht="11.25" customHeight="1" x14ac:dyDescent="0.2"/>
    <row r="58" spans="1:7" ht="13.9" customHeight="1" thickBot="1" x14ac:dyDescent="0.25">
      <c r="A58" s="7" t="s">
        <v>541</v>
      </c>
    </row>
    <row r="59" spans="1:7" ht="13.9" customHeight="1" thickBot="1" x14ac:dyDescent="0.25">
      <c r="A59" s="57" t="s">
        <v>64</v>
      </c>
      <c r="B59" s="58" t="s">
        <v>65</v>
      </c>
      <c r="C59" s="58" t="s">
        <v>42</v>
      </c>
      <c r="D59" s="59" t="s">
        <v>223</v>
      </c>
      <c r="E59" s="59" t="s">
        <v>66</v>
      </c>
      <c r="F59" s="60" t="s">
        <v>67</v>
      </c>
    </row>
    <row r="60" spans="1:7" ht="13.15" customHeight="1" x14ac:dyDescent="0.2">
      <c r="A60" s="13" t="s">
        <v>205</v>
      </c>
      <c r="B60" s="14" t="s">
        <v>8</v>
      </c>
      <c r="C60" s="14">
        <v>1</v>
      </c>
      <c r="D60" s="284">
        <v>1816.57</v>
      </c>
      <c r="E60" s="15">
        <f>C60*D60</f>
        <v>1816.57</v>
      </c>
    </row>
    <row r="61" spans="1:7" hidden="1" x14ac:dyDescent="0.2">
      <c r="A61" s="16" t="s">
        <v>36</v>
      </c>
      <c r="B61" s="17" t="s">
        <v>0</v>
      </c>
      <c r="C61" s="83"/>
      <c r="D61" s="18">
        <f>D60/220*2</f>
        <v>16.514272727272726</v>
      </c>
      <c r="E61" s="18">
        <f>C61*D61</f>
        <v>0</v>
      </c>
    </row>
    <row r="62" spans="1:7" ht="13.15" hidden="1" customHeight="1" x14ac:dyDescent="0.2">
      <c r="A62" s="16" t="s">
        <v>37</v>
      </c>
      <c r="B62" s="17" t="s">
        <v>0</v>
      </c>
      <c r="C62" s="83"/>
      <c r="D62" s="18">
        <f>D60/220*1.5</f>
        <v>12.385704545454544</v>
      </c>
      <c r="E62" s="18">
        <f>C62*D62</f>
        <v>0</v>
      </c>
    </row>
    <row r="63" spans="1:7" ht="13.15" hidden="1" customHeight="1" x14ac:dyDescent="0.2">
      <c r="A63" s="16" t="s">
        <v>209</v>
      </c>
      <c r="B63" s="17" t="s">
        <v>35</v>
      </c>
      <c r="D63" s="18">
        <f>63/302*(SUM(E61:E62))</f>
        <v>0</v>
      </c>
      <c r="E63" s="18">
        <f>D63</f>
        <v>0</v>
      </c>
    </row>
    <row r="64" spans="1:7" x14ac:dyDescent="0.2">
      <c r="A64" s="16" t="s">
        <v>1</v>
      </c>
      <c r="B64" s="17" t="s">
        <v>2</v>
      </c>
      <c r="C64" s="17">
        <v>40</v>
      </c>
      <c r="D64" s="78">
        <f>SUM(E60:E63)</f>
        <v>1816.57</v>
      </c>
      <c r="E64" s="18">
        <f>C64*D64/100</f>
        <v>726.62800000000004</v>
      </c>
    </row>
    <row r="65" spans="1:8" x14ac:dyDescent="0.2">
      <c r="A65" s="109" t="s">
        <v>3</v>
      </c>
      <c r="B65" s="110"/>
      <c r="C65" s="110"/>
      <c r="D65" s="111"/>
      <c r="E65" s="112">
        <f>SUM(E60:E64)</f>
        <v>2543.1979999999999</v>
      </c>
    </row>
    <row r="66" spans="1:8" x14ac:dyDescent="0.2">
      <c r="A66" s="16" t="s">
        <v>4</v>
      </c>
      <c r="B66" s="17" t="s">
        <v>2</v>
      </c>
      <c r="C66" s="131">
        <f>'6.Enc Sociais'!$C$38*100</f>
        <v>69.355340000000012</v>
      </c>
      <c r="D66" s="18">
        <f>E65</f>
        <v>2543.1979999999999</v>
      </c>
      <c r="E66" s="18">
        <f>D66*C66/100</f>
        <v>1763.8436197732001</v>
      </c>
    </row>
    <row r="67" spans="1:8" x14ac:dyDescent="0.2">
      <c r="A67" s="109" t="s">
        <v>73</v>
      </c>
      <c r="B67" s="110"/>
      <c r="C67" s="110"/>
      <c r="D67" s="111"/>
      <c r="E67" s="112">
        <f>E65+E66</f>
        <v>4307.0416197732002</v>
      </c>
    </row>
    <row r="68" spans="1:8" ht="13.5" thickBot="1" x14ac:dyDescent="0.25">
      <c r="A68" s="16" t="s">
        <v>5</v>
      </c>
      <c r="B68" s="17" t="s">
        <v>6</v>
      </c>
      <c r="C68" s="81">
        <v>3</v>
      </c>
      <c r="D68" s="18">
        <f>E67</f>
        <v>4307.0416197732002</v>
      </c>
      <c r="E68" s="18">
        <f>C68*D68</f>
        <v>12921.1248593196</v>
      </c>
      <c r="G68" s="6"/>
      <c r="H68" s="302"/>
    </row>
    <row r="69" spans="1:8" ht="13.9" customHeight="1" thickBot="1" x14ac:dyDescent="0.25">
      <c r="A69" s="7"/>
      <c r="D69" s="115" t="s">
        <v>184</v>
      </c>
      <c r="E69" s="286">
        <f>$B$54</f>
        <v>0.43227272727272725</v>
      </c>
      <c r="F69" s="116">
        <f>E68*E69</f>
        <v>5585.4498823695176</v>
      </c>
      <c r="G69" s="6"/>
      <c r="H69" s="302"/>
    </row>
    <row r="70" spans="1:8" ht="11.25" customHeight="1" x14ac:dyDescent="0.2">
      <c r="A70" s="7"/>
    </row>
    <row r="71" spans="1:8" hidden="1" x14ac:dyDescent="0.2">
      <c r="A71" s="9" t="s">
        <v>88</v>
      </c>
    </row>
    <row r="72" spans="1:8" ht="13.5" hidden="1" thickBot="1" x14ac:dyDescent="0.25">
      <c r="A72" s="57" t="s">
        <v>64</v>
      </c>
      <c r="B72" s="58" t="s">
        <v>65</v>
      </c>
      <c r="C72" s="58" t="s">
        <v>42</v>
      </c>
      <c r="D72" s="59" t="s">
        <v>223</v>
      </c>
      <c r="E72" s="59" t="s">
        <v>66</v>
      </c>
      <c r="F72" s="60" t="s">
        <v>67</v>
      </c>
    </row>
    <row r="73" spans="1:8" hidden="1" x14ac:dyDescent="0.2">
      <c r="A73" s="13" t="s">
        <v>205</v>
      </c>
      <c r="B73" s="14" t="s">
        <v>8</v>
      </c>
      <c r="C73" s="14">
        <v>1</v>
      </c>
      <c r="D73" s="15">
        <f>D60</f>
        <v>1816.57</v>
      </c>
      <c r="E73" s="15">
        <f>C73*D73</f>
        <v>1816.57</v>
      </c>
    </row>
    <row r="74" spans="1:8" hidden="1" x14ac:dyDescent="0.2">
      <c r="A74" s="16" t="s">
        <v>7</v>
      </c>
      <c r="B74" s="17" t="s">
        <v>96</v>
      </c>
      <c r="C74" s="83"/>
      <c r="D74" s="18"/>
      <c r="E74" s="18"/>
    </row>
    <row r="75" spans="1:8" hidden="1" x14ac:dyDescent="0.2">
      <c r="A75" s="16"/>
      <c r="B75" s="17" t="s">
        <v>98</v>
      </c>
      <c r="C75" s="113">
        <f>C74*8/7</f>
        <v>0</v>
      </c>
      <c r="D75" s="18">
        <f>D73/220*0.2</f>
        <v>1.6514272727272727</v>
      </c>
      <c r="E75" s="18">
        <f>C74*D75</f>
        <v>0</v>
      </c>
    </row>
    <row r="76" spans="1:8" hidden="1" x14ac:dyDescent="0.2">
      <c r="A76" s="16" t="s">
        <v>36</v>
      </c>
      <c r="B76" s="17" t="s">
        <v>0</v>
      </c>
      <c r="C76" s="83"/>
      <c r="D76" s="18">
        <f>D73/220*2</f>
        <v>16.514272727272726</v>
      </c>
      <c r="E76" s="18">
        <f>C76*D76</f>
        <v>0</v>
      </c>
    </row>
    <row r="77" spans="1:8" hidden="1" x14ac:dyDescent="0.2">
      <c r="A77" s="16" t="s">
        <v>97</v>
      </c>
      <c r="B77" s="17" t="s">
        <v>96</v>
      </c>
      <c r="C77" s="83"/>
      <c r="D77" s="18"/>
      <c r="E77" s="18"/>
    </row>
    <row r="78" spans="1:8" hidden="1" x14ac:dyDescent="0.2">
      <c r="A78" s="16"/>
      <c r="B78" s="17" t="s">
        <v>98</v>
      </c>
      <c r="C78" s="113">
        <f>C77*8/7</f>
        <v>0</v>
      </c>
      <c r="D78" s="18">
        <f>D73/220*2*1.2</f>
        <v>19.817127272727269</v>
      </c>
      <c r="E78" s="18">
        <f>C78*D78</f>
        <v>0</v>
      </c>
    </row>
    <row r="79" spans="1:8" hidden="1" x14ac:dyDescent="0.2">
      <c r="A79" s="16" t="s">
        <v>37</v>
      </c>
      <c r="B79" s="17" t="s">
        <v>0</v>
      </c>
      <c r="C79" s="83"/>
      <c r="D79" s="18">
        <f>D73/220*1.5</f>
        <v>12.385704545454544</v>
      </c>
      <c r="E79" s="18">
        <f>C79*D79</f>
        <v>0</v>
      </c>
    </row>
    <row r="80" spans="1:8" hidden="1" x14ac:dyDescent="0.2">
      <c r="A80" s="16" t="s">
        <v>207</v>
      </c>
      <c r="B80" s="17" t="s">
        <v>96</v>
      </c>
      <c r="C80" s="83"/>
      <c r="D80" s="18"/>
      <c r="E80" s="18"/>
    </row>
    <row r="81" spans="1:7" hidden="1" x14ac:dyDescent="0.2">
      <c r="A81" s="16"/>
      <c r="B81" s="17" t="s">
        <v>98</v>
      </c>
      <c r="C81" s="18">
        <f>C80*8/7</f>
        <v>0</v>
      </c>
      <c r="D81" s="18">
        <f>D73/220*1.5*1.2</f>
        <v>14.862845454545452</v>
      </c>
      <c r="E81" s="18">
        <f>C81*D81</f>
        <v>0</v>
      </c>
    </row>
    <row r="82" spans="1:7" ht="13.15" hidden="1" customHeight="1" x14ac:dyDescent="0.2">
      <c r="A82" s="16" t="s">
        <v>209</v>
      </c>
      <c r="B82" s="17" t="s">
        <v>35</v>
      </c>
      <c r="D82" s="18">
        <f>63/302*(SUM(E76:E81))</f>
        <v>0</v>
      </c>
      <c r="E82" s="18">
        <f>D82</f>
        <v>0</v>
      </c>
    </row>
    <row r="83" spans="1:7" hidden="1" x14ac:dyDescent="0.2">
      <c r="A83" s="16" t="s">
        <v>1</v>
      </c>
      <c r="B83" s="17" t="s">
        <v>2</v>
      </c>
      <c r="C83" s="17">
        <f>+C64</f>
        <v>40</v>
      </c>
      <c r="D83" s="78">
        <f>SUM(E73:E82)</f>
        <v>1816.57</v>
      </c>
      <c r="E83" s="18">
        <f>C83*D83/100</f>
        <v>726.62800000000004</v>
      </c>
    </row>
    <row r="84" spans="1:7" hidden="1" x14ac:dyDescent="0.2">
      <c r="A84" s="109" t="s">
        <v>3</v>
      </c>
      <c r="B84" s="110"/>
      <c r="C84" s="110"/>
      <c r="D84" s="111"/>
      <c r="E84" s="112">
        <f>SUM(E73:E83)</f>
        <v>2543.1979999999999</v>
      </c>
    </row>
    <row r="85" spans="1:7" hidden="1" x14ac:dyDescent="0.2">
      <c r="A85" s="16" t="s">
        <v>4</v>
      </c>
      <c r="B85" s="17" t="s">
        <v>2</v>
      </c>
      <c r="C85" s="131">
        <f>'6.Enc Sociais'!$C$38*100</f>
        <v>69.355340000000012</v>
      </c>
      <c r="D85" s="18">
        <f>E84</f>
        <v>2543.1979999999999</v>
      </c>
      <c r="E85" s="18">
        <f>D85*C85/100</f>
        <v>1763.8436197732001</v>
      </c>
    </row>
    <row r="86" spans="1:7" hidden="1" x14ac:dyDescent="0.2">
      <c r="A86" s="109" t="s">
        <v>73</v>
      </c>
      <c r="B86" s="110"/>
      <c r="C86" s="110"/>
      <c r="D86" s="111"/>
      <c r="E86" s="112">
        <f>E84+E85</f>
        <v>4307.0416197732002</v>
      </c>
    </row>
    <row r="87" spans="1:7" hidden="1" x14ac:dyDescent="0.2">
      <c r="A87" s="16" t="s">
        <v>5</v>
      </c>
      <c r="B87" s="17" t="s">
        <v>6</v>
      </c>
      <c r="C87" s="81"/>
      <c r="D87" s="18">
        <f>E86</f>
        <v>4307.0416197732002</v>
      </c>
      <c r="E87" s="18">
        <f>C87*D87</f>
        <v>0</v>
      </c>
    </row>
    <row r="88" spans="1:7" ht="13.5" hidden="1" thickBot="1" x14ac:dyDescent="0.25">
      <c r="D88" s="115" t="s">
        <v>184</v>
      </c>
      <c r="E88" s="49">
        <f>$B$54</f>
        <v>0.43227272727272725</v>
      </c>
      <c r="F88" s="116">
        <f>E87*E88</f>
        <v>0</v>
      </c>
    </row>
    <row r="89" spans="1:7" ht="11.25" customHeight="1" x14ac:dyDescent="0.2"/>
    <row r="90" spans="1:7" ht="13.5" thickBot="1" x14ac:dyDescent="0.25">
      <c r="A90" s="7" t="s">
        <v>386</v>
      </c>
    </row>
    <row r="91" spans="1:7" s="12" customFormat="1" ht="13.15" customHeight="1" thickBot="1" x14ac:dyDescent="0.25">
      <c r="A91" s="57" t="s">
        <v>64</v>
      </c>
      <c r="B91" s="58" t="s">
        <v>65</v>
      </c>
      <c r="C91" s="58" t="s">
        <v>42</v>
      </c>
      <c r="D91" s="59" t="s">
        <v>223</v>
      </c>
      <c r="E91" s="59" t="s">
        <v>66</v>
      </c>
      <c r="F91" s="60" t="s">
        <v>67</v>
      </c>
      <c r="G91" s="10"/>
    </row>
    <row r="92" spans="1:7" x14ac:dyDescent="0.2">
      <c r="A92" s="277" t="s">
        <v>282</v>
      </c>
      <c r="B92" s="14" t="s">
        <v>8</v>
      </c>
      <c r="C92" s="14">
        <v>1</v>
      </c>
      <c r="D92" s="284">
        <v>2251.4899999999998</v>
      </c>
      <c r="E92" s="15">
        <f>C92*D92</f>
        <v>2251.4899999999998</v>
      </c>
    </row>
    <row r="93" spans="1:7" x14ac:dyDescent="0.2">
      <c r="A93" s="277" t="s">
        <v>283</v>
      </c>
      <c r="B93" s="14" t="s">
        <v>8</v>
      </c>
      <c r="C93" s="14">
        <v>1</v>
      </c>
      <c r="D93" s="82">
        <v>1412</v>
      </c>
      <c r="E93" s="15"/>
    </row>
    <row r="94" spans="1:7" hidden="1" x14ac:dyDescent="0.2">
      <c r="A94" s="16" t="s">
        <v>36</v>
      </c>
      <c r="B94" s="17" t="s">
        <v>0</v>
      </c>
      <c r="C94" s="83"/>
      <c r="D94" s="18">
        <f>D92/220*2</f>
        <v>20.468090909090908</v>
      </c>
      <c r="E94" s="18">
        <f>C94*D94</f>
        <v>0</v>
      </c>
    </row>
    <row r="95" spans="1:7" hidden="1" x14ac:dyDescent="0.2">
      <c r="A95" s="16" t="s">
        <v>37</v>
      </c>
      <c r="B95" s="17" t="s">
        <v>0</v>
      </c>
      <c r="C95" s="83"/>
      <c r="D95" s="18">
        <f>D92/220*1.5</f>
        <v>15.351068181818182</v>
      </c>
      <c r="E95" s="18">
        <f>C95*D95</f>
        <v>0</v>
      </c>
    </row>
    <row r="96" spans="1:7" ht="13.15" hidden="1" customHeight="1" x14ac:dyDescent="0.2">
      <c r="A96" s="16" t="s">
        <v>209</v>
      </c>
      <c r="B96" s="17" t="s">
        <v>35</v>
      </c>
      <c r="D96" s="18">
        <f>63/302*(SUM(E94:E95))</f>
        <v>0</v>
      </c>
      <c r="E96" s="18">
        <f>D96</f>
        <v>0</v>
      </c>
    </row>
    <row r="97" spans="1:8" x14ac:dyDescent="0.2">
      <c r="A97" s="16" t="s">
        <v>206</v>
      </c>
      <c r="B97" s="17"/>
      <c r="C97" s="85">
        <v>1</v>
      </c>
      <c r="D97" s="18"/>
      <c r="E97" s="18"/>
    </row>
    <row r="98" spans="1:8" x14ac:dyDescent="0.2">
      <c r="A98" s="16" t="s">
        <v>1</v>
      </c>
      <c r="B98" s="17" t="s">
        <v>2</v>
      </c>
      <c r="C98" s="81">
        <v>20</v>
      </c>
      <c r="D98" s="78">
        <f>IF(C97=2,SUM(E92:E96),IF(C97=1,(SUM(E92:E96))*D93/D92,0))</f>
        <v>1412</v>
      </c>
      <c r="E98" s="18">
        <f>C98*D98/100</f>
        <v>282.39999999999998</v>
      </c>
    </row>
    <row r="99" spans="1:8" s="11" customFormat="1" x14ac:dyDescent="0.2">
      <c r="A99" s="96" t="s">
        <v>3</v>
      </c>
      <c r="B99" s="110"/>
      <c r="C99" s="110"/>
      <c r="D99" s="111"/>
      <c r="E99" s="98">
        <f>SUM(E92:E98)</f>
        <v>2533.89</v>
      </c>
      <c r="F99" s="43"/>
      <c r="G99" s="43"/>
    </row>
    <row r="100" spans="1:8" x14ac:dyDescent="0.2">
      <c r="A100" s="16" t="s">
        <v>4</v>
      </c>
      <c r="B100" s="17" t="s">
        <v>2</v>
      </c>
      <c r="C100" s="131">
        <f>'6.Enc Sociais'!$C$38*100</f>
        <v>69.355340000000012</v>
      </c>
      <c r="D100" s="18">
        <f>E99</f>
        <v>2533.89</v>
      </c>
      <c r="E100" s="18">
        <f>D100*C100/100</f>
        <v>1757.3880247260001</v>
      </c>
    </row>
    <row r="101" spans="1:8" s="11" customFormat="1" x14ac:dyDescent="0.2">
      <c r="A101" s="96" t="s">
        <v>243</v>
      </c>
      <c r="B101" s="246"/>
      <c r="C101" s="246"/>
      <c r="D101" s="247"/>
      <c r="E101" s="98">
        <f>E99+E100</f>
        <v>4291.2780247259998</v>
      </c>
      <c r="F101" s="43"/>
      <c r="G101" s="43"/>
    </row>
    <row r="102" spans="1:8" ht="13.5" thickBot="1" x14ac:dyDescent="0.25">
      <c r="A102" s="16" t="s">
        <v>5</v>
      </c>
      <c r="B102" s="17" t="s">
        <v>6</v>
      </c>
      <c r="C102" s="81">
        <v>1</v>
      </c>
      <c r="D102" s="18">
        <f>E101</f>
        <v>4291.2780247259998</v>
      </c>
      <c r="E102" s="18">
        <f>C102*D102</f>
        <v>4291.2780247259998</v>
      </c>
    </row>
    <row r="103" spans="1:8" ht="13.5" thickBot="1" x14ac:dyDescent="0.25">
      <c r="A103" s="7"/>
      <c r="D103" s="115" t="s">
        <v>184</v>
      </c>
      <c r="E103" s="286">
        <f>'11. Horários'!G38</f>
        <v>0.46568181818181825</v>
      </c>
      <c r="F103" s="116">
        <f>E102*E103</f>
        <v>1998.3701528780853</v>
      </c>
      <c r="H103" s="302"/>
    </row>
    <row r="104" spans="1:8" ht="14.25" customHeight="1" x14ac:dyDescent="0.2">
      <c r="A104" s="7"/>
    </row>
    <row r="105" spans="1:8" ht="11.25" customHeight="1" x14ac:dyDescent="0.2">
      <c r="A105" s="7"/>
    </row>
    <row r="106" spans="1:8" ht="13.5" thickBot="1" x14ac:dyDescent="0.25">
      <c r="A106" s="7" t="s">
        <v>387</v>
      </c>
    </row>
    <row r="107" spans="1:8" ht="13.5" thickBot="1" x14ac:dyDescent="0.25">
      <c r="A107" s="57" t="s">
        <v>64</v>
      </c>
      <c r="B107" s="58" t="s">
        <v>65</v>
      </c>
      <c r="C107" s="58" t="s">
        <v>42</v>
      </c>
      <c r="D107" s="59" t="s">
        <v>223</v>
      </c>
      <c r="E107" s="59" t="s">
        <v>66</v>
      </c>
      <c r="F107" s="60" t="s">
        <v>67</v>
      </c>
    </row>
    <row r="108" spans="1:8" x14ac:dyDescent="0.2">
      <c r="A108" s="277" t="s">
        <v>410</v>
      </c>
      <c r="B108" s="14" t="s">
        <v>8</v>
      </c>
      <c r="C108" s="14">
        <v>1</v>
      </c>
      <c r="D108" s="82">
        <v>2500</v>
      </c>
      <c r="E108" s="15">
        <f>C108*D108</f>
        <v>2500</v>
      </c>
    </row>
    <row r="109" spans="1:8" hidden="1" x14ac:dyDescent="0.2">
      <c r="A109" s="277" t="s">
        <v>283</v>
      </c>
      <c r="B109" s="14" t="s">
        <v>8</v>
      </c>
      <c r="C109" s="14">
        <v>1</v>
      </c>
      <c r="D109" s="18">
        <f>D93</f>
        <v>1412</v>
      </c>
      <c r="E109" s="18"/>
    </row>
    <row r="110" spans="1:8" hidden="1" x14ac:dyDescent="0.2">
      <c r="A110" s="16" t="s">
        <v>7</v>
      </c>
      <c r="B110" s="17" t="s">
        <v>96</v>
      </c>
      <c r="C110" s="83"/>
      <c r="D110" s="16"/>
      <c r="E110" s="16"/>
    </row>
    <row r="111" spans="1:8" hidden="1" x14ac:dyDescent="0.2">
      <c r="A111" s="16"/>
      <c r="B111" s="17" t="s">
        <v>98</v>
      </c>
      <c r="C111" s="18">
        <f>C110*8/7</f>
        <v>0</v>
      </c>
      <c r="D111" s="18">
        <f>D108/220*0.2</f>
        <v>2.2727272727272729</v>
      </c>
      <c r="E111" s="18">
        <f>C110*D111</f>
        <v>0</v>
      </c>
    </row>
    <row r="112" spans="1:8" hidden="1" x14ac:dyDescent="0.2">
      <c r="A112" s="16" t="s">
        <v>36</v>
      </c>
      <c r="B112" s="17" t="s">
        <v>0</v>
      </c>
      <c r="C112" s="83"/>
      <c r="D112" s="18">
        <f>D108/220*2</f>
        <v>22.727272727272727</v>
      </c>
      <c r="E112" s="18">
        <f>C112*D112</f>
        <v>0</v>
      </c>
      <c r="G112" s="10" t="s">
        <v>239</v>
      </c>
    </row>
    <row r="113" spans="1:7" hidden="1" x14ac:dyDescent="0.2">
      <c r="A113" s="16" t="s">
        <v>97</v>
      </c>
      <c r="B113" s="17" t="s">
        <v>96</v>
      </c>
      <c r="C113" s="83"/>
      <c r="D113" s="18"/>
      <c r="E113" s="18"/>
      <c r="G113" s="10" t="s">
        <v>240</v>
      </c>
    </row>
    <row r="114" spans="1:7" hidden="1" x14ac:dyDescent="0.2">
      <c r="A114" s="16"/>
      <c r="B114" s="17" t="s">
        <v>98</v>
      </c>
      <c r="C114" s="18">
        <f>C113*8/7</f>
        <v>0</v>
      </c>
      <c r="D114" s="18">
        <f>D108/220*2*1.2</f>
        <v>27.27272727272727</v>
      </c>
      <c r="E114" s="18">
        <f>C114*D114</f>
        <v>0</v>
      </c>
      <c r="G114" s="10" t="s">
        <v>240</v>
      </c>
    </row>
    <row r="115" spans="1:7" hidden="1" x14ac:dyDescent="0.2">
      <c r="A115" s="16" t="s">
        <v>37</v>
      </c>
      <c r="B115" s="17" t="s">
        <v>0</v>
      </c>
      <c r="C115" s="83"/>
      <c r="D115" s="18">
        <f>D108/220*1.5</f>
        <v>17.045454545454547</v>
      </c>
      <c r="E115" s="18">
        <f>C115*D115</f>
        <v>0</v>
      </c>
      <c r="G115" s="10" t="s">
        <v>241</v>
      </c>
    </row>
    <row r="116" spans="1:7" hidden="1" x14ac:dyDescent="0.2">
      <c r="A116" s="16" t="s">
        <v>207</v>
      </c>
      <c r="B116" s="17" t="s">
        <v>96</v>
      </c>
      <c r="C116" s="83"/>
      <c r="D116" s="18"/>
      <c r="E116" s="18"/>
      <c r="G116" s="10" t="s">
        <v>242</v>
      </c>
    </row>
    <row r="117" spans="1:7" hidden="1" x14ac:dyDescent="0.2">
      <c r="A117" s="16"/>
      <c r="B117" s="17" t="s">
        <v>98</v>
      </c>
      <c r="C117" s="18">
        <f>C116*8/7</f>
        <v>0</v>
      </c>
      <c r="D117" s="18">
        <f>D108/220*1.5*1.2</f>
        <v>20.454545454545457</v>
      </c>
      <c r="E117" s="18">
        <f>C117*D117</f>
        <v>0</v>
      </c>
      <c r="G117" s="10" t="s">
        <v>242</v>
      </c>
    </row>
    <row r="118" spans="1:7" ht="13.15" hidden="1" customHeight="1" x14ac:dyDescent="0.2">
      <c r="A118" s="16" t="s">
        <v>209</v>
      </c>
      <c r="B118" s="17" t="s">
        <v>35</v>
      </c>
      <c r="D118" s="18">
        <f>63/302*(SUM(E112:E117))</f>
        <v>0</v>
      </c>
      <c r="E118" s="18">
        <f>D118</f>
        <v>0</v>
      </c>
      <c r="G118" s="10" t="s">
        <v>208</v>
      </c>
    </row>
    <row r="119" spans="1:7" hidden="1" x14ac:dyDescent="0.2">
      <c r="A119" s="16" t="s">
        <v>206</v>
      </c>
      <c r="B119" s="17"/>
      <c r="C119" s="85"/>
      <c r="D119" s="18"/>
      <c r="E119" s="18"/>
    </row>
    <row r="120" spans="1:7" hidden="1" x14ac:dyDescent="0.2">
      <c r="A120" s="16" t="s">
        <v>1</v>
      </c>
      <c r="B120" s="17" t="s">
        <v>2</v>
      </c>
      <c r="C120" s="78">
        <f>+C98</f>
        <v>20</v>
      </c>
      <c r="D120" s="78">
        <f>IF(C119=2,SUM(E108:E118),IF(C119=1,SUM(E108:E118)*D109/D108,0))</f>
        <v>0</v>
      </c>
      <c r="E120" s="18">
        <f>C120*D120/100</f>
        <v>0</v>
      </c>
    </row>
    <row r="121" spans="1:7" s="11" customFormat="1" x14ac:dyDescent="0.2">
      <c r="A121" s="109" t="s">
        <v>3</v>
      </c>
      <c r="B121" s="110"/>
      <c r="C121" s="110"/>
      <c r="D121" s="111"/>
      <c r="E121" s="112">
        <f>SUM(E108:E120)</f>
        <v>2500</v>
      </c>
      <c r="F121" s="43"/>
      <c r="G121" s="43"/>
    </row>
    <row r="122" spans="1:7" x14ac:dyDescent="0.2">
      <c r="A122" s="16" t="s">
        <v>4</v>
      </c>
      <c r="B122" s="17" t="s">
        <v>2</v>
      </c>
      <c r="C122" s="131">
        <f>'6.Enc Sociais'!$C$38*100</f>
        <v>69.355340000000012</v>
      </c>
      <c r="D122" s="18">
        <f>E121</f>
        <v>2500</v>
      </c>
      <c r="E122" s="18">
        <f>D122*C122/100</f>
        <v>1733.8835000000004</v>
      </c>
    </row>
    <row r="123" spans="1:7" s="11" customFormat="1" x14ac:dyDescent="0.2">
      <c r="A123" s="109" t="s">
        <v>375</v>
      </c>
      <c r="B123" s="110"/>
      <c r="C123" s="110"/>
      <c r="D123" s="111"/>
      <c r="E123" s="112">
        <f>E121+E122</f>
        <v>4233.8834999999999</v>
      </c>
      <c r="F123" s="43"/>
      <c r="G123" s="43"/>
    </row>
    <row r="124" spans="1:7" ht="13.5" thickBot="1" x14ac:dyDescent="0.25">
      <c r="A124" s="16" t="s">
        <v>5</v>
      </c>
      <c r="B124" s="17" t="s">
        <v>6</v>
      </c>
      <c r="C124" s="81">
        <v>1</v>
      </c>
      <c r="D124" s="18">
        <f>E123</f>
        <v>4233.8834999999999</v>
      </c>
      <c r="E124" s="18">
        <f>C124*D124</f>
        <v>4233.8834999999999</v>
      </c>
    </row>
    <row r="125" spans="1:7" ht="13.5" thickBot="1" x14ac:dyDescent="0.25">
      <c r="A125" s="11" t="s">
        <v>481</v>
      </c>
      <c r="D125" s="115" t="s">
        <v>184</v>
      </c>
      <c r="E125" s="286">
        <f>5/44</f>
        <v>0.11363636363636363</v>
      </c>
      <c r="F125" s="116">
        <f>E124*E125</f>
        <v>481.12312499999996</v>
      </c>
    </row>
    <row r="126" spans="1:7" ht="11.25" customHeight="1" x14ac:dyDescent="0.2">
      <c r="G126" s="9"/>
    </row>
    <row r="127" spans="1:7" ht="13.5" thickBot="1" x14ac:dyDescent="0.25">
      <c r="A127" s="7" t="s">
        <v>388</v>
      </c>
      <c r="B127" s="88"/>
      <c r="D127" s="9"/>
      <c r="E127" s="302"/>
      <c r="G127" s="9"/>
    </row>
    <row r="128" spans="1:7" ht="13.5" thickBot="1" x14ac:dyDescent="0.25">
      <c r="A128" s="57" t="s">
        <v>64</v>
      </c>
      <c r="B128" s="58" t="s">
        <v>65</v>
      </c>
      <c r="C128" s="58" t="s">
        <v>42</v>
      </c>
      <c r="D128" s="59" t="s">
        <v>223</v>
      </c>
      <c r="E128" s="59" t="s">
        <v>66</v>
      </c>
      <c r="F128" s="60" t="s">
        <v>67</v>
      </c>
      <c r="G128" s="9"/>
    </row>
    <row r="129" spans="1:8" x14ac:dyDescent="0.2">
      <c r="A129" s="16" t="s">
        <v>89</v>
      </c>
      <c r="B129" s="17" t="s">
        <v>35</v>
      </c>
      <c r="C129" s="89">
        <v>1</v>
      </c>
      <c r="D129" s="87">
        <v>5.5</v>
      </c>
      <c r="E129" s="18"/>
      <c r="G129" s="9"/>
    </row>
    <row r="130" spans="1:8" x14ac:dyDescent="0.2">
      <c r="A130" s="16" t="s">
        <v>90</v>
      </c>
      <c r="B130" s="17" t="s">
        <v>91</v>
      </c>
      <c r="C130" s="86">
        <v>13</v>
      </c>
      <c r="D130" s="18"/>
      <c r="E130" s="18"/>
      <c r="G130" s="80"/>
      <c r="H130" s="80"/>
    </row>
    <row r="131" spans="1:8" ht="13.5" thickBot="1" x14ac:dyDescent="0.25">
      <c r="A131" s="16" t="s">
        <v>74</v>
      </c>
      <c r="B131" s="17" t="s">
        <v>9</v>
      </c>
      <c r="C131" s="36">
        <f>$C$130*2*(C68+C87)</f>
        <v>78</v>
      </c>
      <c r="D131" s="15">
        <f>D129-(E60/42*0.06)</f>
        <v>2.9049</v>
      </c>
      <c r="E131" s="18">
        <f>IFERROR(C131*D131,"-")</f>
        <v>226.5822</v>
      </c>
      <c r="H131" s="80"/>
    </row>
    <row r="132" spans="1:8" ht="13.5" hidden="1" thickBot="1" x14ac:dyDescent="0.25">
      <c r="A132" s="13" t="s">
        <v>46</v>
      </c>
      <c r="B132" s="14" t="s">
        <v>9</v>
      </c>
      <c r="C132" s="36"/>
      <c r="D132" s="15">
        <f>D129-(E92/42*0.06)</f>
        <v>2.2835857142857146</v>
      </c>
      <c r="E132" s="15">
        <f>IFERROR(C132*D132,"-")</f>
        <v>0</v>
      </c>
      <c r="G132" s="9"/>
      <c r="H132" s="80"/>
    </row>
    <row r="133" spans="1:8" ht="13.5" thickBot="1" x14ac:dyDescent="0.25">
      <c r="F133" s="22">
        <f>SUM(E131:E132)</f>
        <v>226.5822</v>
      </c>
      <c r="G133" s="9"/>
    </row>
    <row r="134" spans="1:8" ht="11.25" customHeight="1" x14ac:dyDescent="0.2">
      <c r="G134" s="9"/>
    </row>
    <row r="135" spans="1:8" ht="13.5" thickBot="1" x14ac:dyDescent="0.25">
      <c r="A135" s="7" t="s">
        <v>424</v>
      </c>
      <c r="F135" s="23"/>
      <c r="G135" s="9"/>
    </row>
    <row r="136" spans="1:8" ht="13.5" thickBot="1" x14ac:dyDescent="0.25">
      <c r="A136" s="57" t="s">
        <v>64</v>
      </c>
      <c r="B136" s="58" t="s">
        <v>65</v>
      </c>
      <c r="C136" s="58" t="s">
        <v>42</v>
      </c>
      <c r="D136" s="59" t="s">
        <v>223</v>
      </c>
      <c r="E136" s="59" t="s">
        <v>66</v>
      </c>
      <c r="F136" s="60" t="s">
        <v>67</v>
      </c>
      <c r="G136" s="9"/>
    </row>
    <row r="137" spans="1:8" x14ac:dyDescent="0.2">
      <c r="A137" s="16" t="str">
        <f>+A131</f>
        <v>Coletor</v>
      </c>
      <c r="B137" s="17" t="s">
        <v>10</v>
      </c>
      <c r="C137" s="95">
        <f>C130*(E44+E45)</f>
        <v>39</v>
      </c>
      <c r="D137" s="84">
        <f>23.68*0.81</f>
        <v>19.180800000000001</v>
      </c>
      <c r="E137" s="49">
        <f>C137*D137</f>
        <v>748.05120000000011</v>
      </c>
      <c r="F137" s="23"/>
      <c r="G137" s="9"/>
    </row>
    <row r="138" spans="1:8" ht="13.5" thickBot="1" x14ac:dyDescent="0.25">
      <c r="A138" s="298" t="s">
        <v>46</v>
      </c>
      <c r="B138" s="17" t="s">
        <v>10</v>
      </c>
      <c r="C138" s="95">
        <f>C130*(E46)</f>
        <v>13</v>
      </c>
      <c r="D138" s="84">
        <f>16*0.8</f>
        <v>12.8</v>
      </c>
      <c r="E138" s="49">
        <f>C138*D138</f>
        <v>166.4</v>
      </c>
      <c r="F138" s="23"/>
      <c r="G138" s="9"/>
    </row>
    <row r="139" spans="1:8" ht="13.5" thickBot="1" x14ac:dyDescent="0.25">
      <c r="A139" s="7"/>
      <c r="F139" s="22">
        <f>SUM(E137:E138)</f>
        <v>914.45120000000009</v>
      </c>
      <c r="G139" s="9"/>
    </row>
    <row r="140" spans="1:8" x14ac:dyDescent="0.2">
      <c r="G140" s="9"/>
    </row>
    <row r="141" spans="1:8" ht="13.5" thickBot="1" x14ac:dyDescent="0.25">
      <c r="A141" s="7" t="s">
        <v>390</v>
      </c>
      <c r="F141" s="23"/>
      <c r="G141" s="9"/>
    </row>
    <row r="142" spans="1:8" ht="13.5" thickBot="1" x14ac:dyDescent="0.25">
      <c r="A142" s="57" t="s">
        <v>64</v>
      </c>
      <c r="B142" s="58" t="s">
        <v>65</v>
      </c>
      <c r="C142" s="58" t="s">
        <v>42</v>
      </c>
      <c r="D142" s="59" t="s">
        <v>223</v>
      </c>
      <c r="E142" s="59" t="s">
        <v>66</v>
      </c>
      <c r="F142" s="60" t="s">
        <v>67</v>
      </c>
      <c r="G142" s="9"/>
    </row>
    <row r="143" spans="1:8" hidden="1" x14ac:dyDescent="0.2">
      <c r="A143" s="16" t="str">
        <f>+A137</f>
        <v>Coletor</v>
      </c>
      <c r="B143" s="17" t="s">
        <v>10</v>
      </c>
      <c r="C143" s="95">
        <f>E44+E45</f>
        <v>3</v>
      </c>
      <c r="D143" s="84"/>
      <c r="E143" s="49">
        <f>C143*D143</f>
        <v>0</v>
      </c>
      <c r="F143" s="23"/>
      <c r="G143" s="9"/>
    </row>
    <row r="144" spans="1:8" ht="13.5" thickBot="1" x14ac:dyDescent="0.25">
      <c r="A144" s="16" t="str">
        <f>A138</f>
        <v>Motorista</v>
      </c>
      <c r="B144" s="17" t="s">
        <v>10</v>
      </c>
      <c r="C144" s="95">
        <f>E46</f>
        <v>1</v>
      </c>
      <c r="D144" s="84">
        <f>121.43*0.8</f>
        <v>97.144000000000005</v>
      </c>
      <c r="E144" s="49">
        <f>C144*D144</f>
        <v>97.144000000000005</v>
      </c>
      <c r="F144" s="23"/>
      <c r="G144" s="9"/>
    </row>
    <row r="145" spans="1:7" ht="13.5" thickBot="1" x14ac:dyDescent="0.25">
      <c r="D145" s="115" t="s">
        <v>184</v>
      </c>
      <c r="E145" s="286">
        <f>E103</f>
        <v>0.46568181818181825</v>
      </c>
      <c r="F145" s="22">
        <f>SUM(E143:E144)*E145</f>
        <v>45.238194545454554</v>
      </c>
      <c r="G145" s="9"/>
    </row>
    <row r="146" spans="1:7" x14ac:dyDescent="0.2">
      <c r="D146" s="115"/>
      <c r="E146" s="324"/>
      <c r="G146" s="9"/>
    </row>
    <row r="147" spans="1:7" ht="13.5" thickBot="1" x14ac:dyDescent="0.25">
      <c r="A147" s="7" t="s">
        <v>391</v>
      </c>
      <c r="B147" s="7"/>
      <c r="C147" s="7"/>
      <c r="D147" s="305"/>
      <c r="E147" s="305"/>
      <c r="F147" s="23"/>
      <c r="G147" s="9"/>
    </row>
    <row r="148" spans="1:7" ht="13.5" thickBot="1" x14ac:dyDescent="0.25">
      <c r="A148" s="57" t="s">
        <v>64</v>
      </c>
      <c r="B148" s="58" t="s">
        <v>65</v>
      </c>
      <c r="C148" s="58" t="s">
        <v>42</v>
      </c>
      <c r="D148" s="59" t="s">
        <v>223</v>
      </c>
      <c r="E148" s="59" t="s">
        <v>66</v>
      </c>
      <c r="F148" s="60" t="s">
        <v>67</v>
      </c>
      <c r="G148" s="9"/>
    </row>
    <row r="149" spans="1:7" ht="13.5" thickBot="1" x14ac:dyDescent="0.25">
      <c r="A149" s="298" t="s">
        <v>356</v>
      </c>
      <c r="B149" s="322" t="s">
        <v>10</v>
      </c>
      <c r="C149" s="325">
        <f>C68</f>
        <v>3</v>
      </c>
      <c r="D149" s="326">
        <v>19.420000000000002</v>
      </c>
      <c r="E149" s="327">
        <f>C149*D149</f>
        <v>58.260000000000005</v>
      </c>
      <c r="F149" s="23"/>
      <c r="G149" s="9"/>
    </row>
    <row r="150" spans="1:7" ht="13.5" hidden="1" thickBot="1" x14ac:dyDescent="0.25">
      <c r="A150" s="298"/>
      <c r="B150" s="322" t="s">
        <v>10</v>
      </c>
      <c r="C150" s="325">
        <v>0</v>
      </c>
      <c r="D150" s="326">
        <v>0</v>
      </c>
      <c r="E150" s="327"/>
      <c r="F150" s="23"/>
      <c r="G150" s="9"/>
    </row>
    <row r="151" spans="1:7" ht="13.5" thickBot="1" x14ac:dyDescent="0.25">
      <c r="A151" s="328"/>
      <c r="B151" s="328"/>
      <c r="C151" s="7"/>
      <c r="D151" s="307" t="s">
        <v>355</v>
      </c>
      <c r="E151" s="334">
        <f>E69</f>
        <v>0.43227272727272725</v>
      </c>
      <c r="F151" s="329">
        <f>SUM(E149:E150)*E151</f>
        <v>25.184209090909093</v>
      </c>
      <c r="G151" s="9"/>
    </row>
    <row r="152" spans="1:7" ht="13.5" thickBot="1" x14ac:dyDescent="0.25">
      <c r="D152" s="115"/>
      <c r="E152" s="324"/>
      <c r="G152" s="9"/>
    </row>
    <row r="153" spans="1:7" ht="13.5" thickBot="1" x14ac:dyDescent="0.25">
      <c r="A153" s="24" t="s">
        <v>92</v>
      </c>
      <c r="B153" s="25"/>
      <c r="C153" s="25"/>
      <c r="D153" s="26"/>
      <c r="E153" s="27"/>
      <c r="F153" s="22">
        <f>F145+F139+F133+F125+F103+F88+F69+F151</f>
        <v>9276.3989638839666</v>
      </c>
      <c r="G153" s="9"/>
    </row>
    <row r="155" spans="1:7" x14ac:dyDescent="0.2">
      <c r="A155" s="11" t="s">
        <v>47</v>
      </c>
      <c r="G155" s="9"/>
    </row>
    <row r="156" spans="1:7" ht="13.9" customHeight="1" thickBot="1" x14ac:dyDescent="0.25">
      <c r="A156" s="9" t="s">
        <v>186</v>
      </c>
      <c r="G156" s="9"/>
    </row>
    <row r="157" spans="1:7" ht="27.75" customHeight="1" thickBot="1" x14ac:dyDescent="0.25">
      <c r="A157" s="57" t="s">
        <v>64</v>
      </c>
      <c r="B157" s="58" t="s">
        <v>65</v>
      </c>
      <c r="C157" s="248" t="s">
        <v>245</v>
      </c>
      <c r="D157" s="59" t="s">
        <v>223</v>
      </c>
      <c r="E157" s="59" t="s">
        <v>66</v>
      </c>
      <c r="F157" s="60" t="s">
        <v>67</v>
      </c>
      <c r="G157" s="9"/>
    </row>
    <row r="158" spans="1:7" x14ac:dyDescent="0.2">
      <c r="A158" s="13" t="s">
        <v>68</v>
      </c>
      <c r="B158" s="14" t="s">
        <v>10</v>
      </c>
      <c r="C158" s="297">
        <v>12</v>
      </c>
      <c r="D158" s="284">
        <v>150</v>
      </c>
      <c r="E158" s="15">
        <f>IFERROR(D158/C158,0)</f>
        <v>12.5</v>
      </c>
      <c r="G158" s="9"/>
    </row>
    <row r="159" spans="1:7" ht="13.15" customHeight="1" x14ac:dyDescent="0.2">
      <c r="A159" s="16" t="s">
        <v>30</v>
      </c>
      <c r="B159" s="17" t="s">
        <v>10</v>
      </c>
      <c r="C159" s="297">
        <v>4</v>
      </c>
      <c r="D159" s="296">
        <v>60</v>
      </c>
      <c r="E159" s="15">
        <f t="shared" ref="E159:E169" si="2">IFERROR(D159/C159,0)</f>
        <v>15</v>
      </c>
      <c r="G159" s="9"/>
    </row>
    <row r="160" spans="1:7" ht="13.15" customHeight="1" x14ac:dyDescent="0.2">
      <c r="A160" s="298" t="s">
        <v>405</v>
      </c>
      <c r="B160" s="17" t="s">
        <v>10</v>
      </c>
      <c r="C160" s="297">
        <v>4</v>
      </c>
      <c r="D160" s="296">
        <v>30</v>
      </c>
      <c r="E160" s="15">
        <f t="shared" ref="E160" si="3">IFERROR(D160/C160,0)</f>
        <v>7.5</v>
      </c>
      <c r="G160" s="9"/>
    </row>
    <row r="161" spans="1:7" x14ac:dyDescent="0.2">
      <c r="A161" s="298" t="s">
        <v>406</v>
      </c>
      <c r="B161" s="17" t="s">
        <v>10</v>
      </c>
      <c r="C161" s="297">
        <v>3</v>
      </c>
      <c r="D161" s="296">
        <v>38</v>
      </c>
      <c r="E161" s="15">
        <f t="shared" si="2"/>
        <v>12.666666666666666</v>
      </c>
      <c r="G161" s="9"/>
    </row>
    <row r="162" spans="1:7" x14ac:dyDescent="0.2">
      <c r="A162" s="298" t="s">
        <v>434</v>
      </c>
      <c r="B162" s="17" t="s">
        <v>10</v>
      </c>
      <c r="C162" s="297">
        <v>3</v>
      </c>
      <c r="D162" s="296">
        <v>40</v>
      </c>
      <c r="E162" s="15">
        <f t="shared" ref="E162" si="4">IFERROR(D162/C162,0)</f>
        <v>13.333333333333334</v>
      </c>
      <c r="G162" s="9"/>
    </row>
    <row r="163" spans="1:7" ht="13.15" customHeight="1" x14ac:dyDescent="0.2">
      <c r="A163" s="16" t="s">
        <v>32</v>
      </c>
      <c r="B163" s="17" t="s">
        <v>10</v>
      </c>
      <c r="C163" s="297">
        <v>6</v>
      </c>
      <c r="D163" s="296">
        <v>22</v>
      </c>
      <c r="E163" s="15">
        <f t="shared" si="2"/>
        <v>3.6666666666666665</v>
      </c>
      <c r="G163" s="9"/>
    </row>
    <row r="164" spans="1:7" ht="13.9" customHeight="1" x14ac:dyDescent="0.2">
      <c r="A164" s="298" t="s">
        <v>430</v>
      </c>
      <c r="B164" s="17" t="s">
        <v>50</v>
      </c>
      <c r="C164" s="297">
        <v>6</v>
      </c>
      <c r="D164" s="296">
        <v>70</v>
      </c>
      <c r="E164" s="15">
        <f t="shared" si="2"/>
        <v>11.666666666666666</v>
      </c>
      <c r="G164" s="9"/>
    </row>
    <row r="165" spans="1:7" ht="13.15" customHeight="1" x14ac:dyDescent="0.2">
      <c r="A165" s="16" t="s">
        <v>93</v>
      </c>
      <c r="B165" s="17" t="s">
        <v>50</v>
      </c>
      <c r="C165" s="297">
        <v>2</v>
      </c>
      <c r="D165" s="296">
        <v>12</v>
      </c>
      <c r="E165" s="15">
        <f t="shared" si="2"/>
        <v>6</v>
      </c>
    </row>
    <row r="166" spans="1:7" x14ac:dyDescent="0.2">
      <c r="A166" s="16" t="s">
        <v>69</v>
      </c>
      <c r="B166" s="17" t="s">
        <v>10</v>
      </c>
      <c r="C166" s="297">
        <v>8</v>
      </c>
      <c r="D166" s="296">
        <v>33</v>
      </c>
      <c r="E166" s="15">
        <f t="shared" si="2"/>
        <v>4.125</v>
      </c>
    </row>
    <row r="167" spans="1:7" s="1" customFormat="1" x14ac:dyDescent="0.2">
      <c r="A167" s="2" t="s">
        <v>11</v>
      </c>
      <c r="B167" s="3" t="s">
        <v>10</v>
      </c>
      <c r="C167" s="297">
        <v>4</v>
      </c>
      <c r="D167" s="296">
        <v>32</v>
      </c>
      <c r="E167" s="15">
        <f t="shared" si="2"/>
        <v>8</v>
      </c>
      <c r="F167" s="37"/>
      <c r="G167" s="37"/>
    </row>
    <row r="168" spans="1:7" x14ac:dyDescent="0.2">
      <c r="A168" s="16" t="s">
        <v>33</v>
      </c>
      <c r="B168" s="17" t="s">
        <v>50</v>
      </c>
      <c r="C168" s="297">
        <v>2</v>
      </c>
      <c r="D168" s="296">
        <v>12</v>
      </c>
      <c r="E168" s="15">
        <f t="shared" si="2"/>
        <v>6</v>
      </c>
    </row>
    <row r="169" spans="1:7" ht="13.15" customHeight="1" x14ac:dyDescent="0.2">
      <c r="A169" s="16" t="s">
        <v>63</v>
      </c>
      <c r="B169" s="17" t="s">
        <v>51</v>
      </c>
      <c r="C169" s="297">
        <v>2</v>
      </c>
      <c r="D169" s="296">
        <v>22</v>
      </c>
      <c r="E169" s="15">
        <f t="shared" si="2"/>
        <v>11</v>
      </c>
    </row>
    <row r="170" spans="1:7" ht="13.5" thickBot="1" x14ac:dyDescent="0.25">
      <c r="A170" s="16" t="s">
        <v>5</v>
      </c>
      <c r="B170" s="17" t="s">
        <v>6</v>
      </c>
      <c r="C170" s="415">
        <f>E44+E45</f>
        <v>3</v>
      </c>
      <c r="D170" s="18">
        <f>+SUM(E158:E169)</f>
        <v>111.45833333333334</v>
      </c>
      <c r="E170" s="18">
        <f t="shared" ref="E170" si="5">C170*D170</f>
        <v>334.375</v>
      </c>
    </row>
    <row r="171" spans="1:7" ht="13.5" thickBot="1" x14ac:dyDescent="0.25">
      <c r="D171" s="115" t="s">
        <v>184</v>
      </c>
      <c r="E171" s="286">
        <f>$B$54</f>
        <v>0.43227272727272725</v>
      </c>
      <c r="F171" s="116">
        <f>E170*E171</f>
        <v>144.54119318181819</v>
      </c>
    </row>
    <row r="172" spans="1:7" ht="11.25" customHeight="1" x14ac:dyDescent="0.2"/>
    <row r="173" spans="1:7" ht="13.9" customHeight="1" thickBot="1" x14ac:dyDescent="0.25">
      <c r="A173" s="9" t="s">
        <v>187</v>
      </c>
    </row>
    <row r="174" spans="1:7" ht="24.75" thickBot="1" x14ac:dyDescent="0.25">
      <c r="A174" s="57" t="s">
        <v>64</v>
      </c>
      <c r="B174" s="58" t="s">
        <v>65</v>
      </c>
      <c r="C174" s="248" t="s">
        <v>245</v>
      </c>
      <c r="D174" s="59" t="s">
        <v>223</v>
      </c>
      <c r="E174" s="59" t="s">
        <v>66</v>
      </c>
      <c r="F174" s="60" t="s">
        <v>67</v>
      </c>
    </row>
    <row r="175" spans="1:7" x14ac:dyDescent="0.2">
      <c r="A175" s="13" t="s">
        <v>68</v>
      </c>
      <c r="B175" s="14" t="s">
        <v>10</v>
      </c>
      <c r="C175" s="300">
        <f>C158</f>
        <v>12</v>
      </c>
      <c r="D175" s="15">
        <f>+D158</f>
        <v>150</v>
      </c>
      <c r="E175" s="15">
        <f>IFERROR(D175/C175,0)</f>
        <v>12.5</v>
      </c>
    </row>
    <row r="176" spans="1:7" x14ac:dyDescent="0.2">
      <c r="A176" s="16" t="s">
        <v>30</v>
      </c>
      <c r="B176" s="17" t="s">
        <v>10</v>
      </c>
      <c r="C176" s="300">
        <f>C159</f>
        <v>4</v>
      </c>
      <c r="D176" s="18">
        <f>+D159</f>
        <v>60</v>
      </c>
      <c r="E176" s="15">
        <f t="shared" ref="E176:E180" si="6">IFERROR(D176/C176,0)</f>
        <v>15</v>
      </c>
    </row>
    <row r="177" spans="1:10" x14ac:dyDescent="0.2">
      <c r="A177" s="16" t="s">
        <v>31</v>
      </c>
      <c r="B177" s="17" t="s">
        <v>10</v>
      </c>
      <c r="C177" s="300">
        <f>C161</f>
        <v>3</v>
      </c>
      <c r="D177" s="18">
        <f>+D161</f>
        <v>38</v>
      </c>
      <c r="E177" s="15">
        <f t="shared" si="6"/>
        <v>12.666666666666666</v>
      </c>
    </row>
    <row r="178" spans="1:10" x14ac:dyDescent="0.2">
      <c r="A178" s="298" t="s">
        <v>431</v>
      </c>
      <c r="B178" s="17" t="s">
        <v>50</v>
      </c>
      <c r="C178" s="300">
        <f>C164</f>
        <v>6</v>
      </c>
      <c r="D178" s="18">
        <f>+D164</f>
        <v>70</v>
      </c>
      <c r="E178" s="15">
        <f t="shared" si="6"/>
        <v>11.666666666666666</v>
      </c>
    </row>
    <row r="179" spans="1:10" x14ac:dyDescent="0.2">
      <c r="A179" s="16" t="s">
        <v>69</v>
      </c>
      <c r="B179" s="17" t="s">
        <v>10</v>
      </c>
      <c r="C179" s="300">
        <f>C166</f>
        <v>8</v>
      </c>
      <c r="D179" s="18">
        <f>+D166</f>
        <v>33</v>
      </c>
      <c r="E179" s="15">
        <f t="shared" si="6"/>
        <v>4.125</v>
      </c>
      <c r="G179" s="9"/>
    </row>
    <row r="180" spans="1:10" x14ac:dyDescent="0.2">
      <c r="A180" s="16" t="s">
        <v>63</v>
      </c>
      <c r="B180" s="17" t="s">
        <v>51</v>
      </c>
      <c r="C180" s="300">
        <f>C169</f>
        <v>2</v>
      </c>
      <c r="D180" s="18">
        <f>+D169</f>
        <v>22</v>
      </c>
      <c r="E180" s="15">
        <f t="shared" si="6"/>
        <v>11</v>
      </c>
      <c r="G180" s="9"/>
    </row>
    <row r="181" spans="1:10" ht="13.5" thickBot="1" x14ac:dyDescent="0.25">
      <c r="A181" s="16" t="s">
        <v>5</v>
      </c>
      <c r="B181" s="17" t="s">
        <v>6</v>
      </c>
      <c r="C181" s="66">
        <f>E46</f>
        <v>1</v>
      </c>
      <c r="D181" s="18">
        <f>+SUM(E175:E180)</f>
        <v>66.958333333333329</v>
      </c>
      <c r="E181" s="18">
        <f t="shared" ref="E181" si="7">C181*D181</f>
        <v>66.958333333333329</v>
      </c>
      <c r="G181" s="9"/>
    </row>
    <row r="182" spans="1:10" ht="13.5" thickBot="1" x14ac:dyDescent="0.25">
      <c r="D182" s="115" t="s">
        <v>184</v>
      </c>
      <c r="E182" s="286">
        <f>E103</f>
        <v>0.46568181818181825</v>
      </c>
      <c r="F182" s="116">
        <f>E181*E182</f>
        <v>31.181278409090911</v>
      </c>
      <c r="G182" s="9"/>
    </row>
    <row r="183" spans="1:10" ht="11.25" customHeight="1" thickBot="1" x14ac:dyDescent="0.25">
      <c r="G183" s="9"/>
    </row>
    <row r="184" spans="1:10" ht="13.5" thickBot="1" x14ac:dyDescent="0.25">
      <c r="A184" s="24" t="s">
        <v>188</v>
      </c>
      <c r="B184" s="28"/>
      <c r="C184" s="28"/>
      <c r="D184" s="29"/>
      <c r="E184" s="30"/>
      <c r="F184" s="21">
        <f>+F171+F182</f>
        <v>175.72247159090909</v>
      </c>
      <c r="G184" s="9"/>
    </row>
    <row r="185" spans="1:10" ht="11.25" customHeight="1" x14ac:dyDescent="0.2">
      <c r="G185" s="9"/>
    </row>
    <row r="186" spans="1:10" x14ac:dyDescent="0.2">
      <c r="A186" s="11" t="s">
        <v>56</v>
      </c>
      <c r="G186" s="9"/>
    </row>
    <row r="187" spans="1:10" x14ac:dyDescent="0.2">
      <c r="A187" s="7" t="s">
        <v>348</v>
      </c>
      <c r="G187" s="9"/>
      <c r="H187" s="80"/>
      <c r="I187" s="80"/>
    </row>
    <row r="188" spans="1:10" ht="13.5" thickBot="1" x14ac:dyDescent="0.25">
      <c r="A188" s="100" t="s">
        <v>48</v>
      </c>
      <c r="G188" s="9"/>
    </row>
    <row r="189" spans="1:10" ht="13.5" thickBot="1" x14ac:dyDescent="0.25">
      <c r="A189" s="57" t="s">
        <v>64</v>
      </c>
      <c r="B189" s="58" t="s">
        <v>65</v>
      </c>
      <c r="C189" s="58" t="s">
        <v>42</v>
      </c>
      <c r="D189" s="59" t="s">
        <v>223</v>
      </c>
      <c r="E189" s="59" t="s">
        <v>66</v>
      </c>
      <c r="F189" s="60" t="s">
        <v>67</v>
      </c>
      <c r="G189" s="9"/>
    </row>
    <row r="190" spans="1:10" x14ac:dyDescent="0.2">
      <c r="A190" s="13" t="s">
        <v>102</v>
      </c>
      <c r="B190" s="14" t="s">
        <v>10</v>
      </c>
      <c r="C190" s="14">
        <v>1</v>
      </c>
      <c r="D190" s="82">
        <v>250000</v>
      </c>
      <c r="E190" s="15">
        <f>C190*D190</f>
        <v>250000</v>
      </c>
      <c r="G190" s="9"/>
    </row>
    <row r="191" spans="1:10" x14ac:dyDescent="0.2">
      <c r="A191" s="16" t="s">
        <v>99</v>
      </c>
      <c r="B191" s="17" t="s">
        <v>100</v>
      </c>
      <c r="C191" s="81">
        <v>10</v>
      </c>
      <c r="D191" s="78"/>
      <c r="E191" s="18"/>
      <c r="G191" s="9"/>
    </row>
    <row r="192" spans="1:10" x14ac:dyDescent="0.2">
      <c r="A192" s="16" t="s">
        <v>201</v>
      </c>
      <c r="B192" s="17" t="s">
        <v>100</v>
      </c>
      <c r="C192" s="81">
        <v>0</v>
      </c>
      <c r="D192" s="18"/>
      <c r="E192" s="18"/>
      <c r="F192" s="20"/>
      <c r="I192" s="80"/>
      <c r="J192" s="80"/>
    </row>
    <row r="193" spans="1:10" x14ac:dyDescent="0.2">
      <c r="A193" s="16" t="s">
        <v>101</v>
      </c>
      <c r="B193" s="17" t="s">
        <v>2</v>
      </c>
      <c r="C193" s="131">
        <f>IFERROR(VLOOKUP(C191,'13. Depr'!A3:B17,2,FALSE),0)</f>
        <v>65.180000000000007</v>
      </c>
      <c r="D193" s="18">
        <f>E190</f>
        <v>250000</v>
      </c>
      <c r="E193" s="18">
        <f>C193*D193/100</f>
        <v>162950.00000000003</v>
      </c>
    </row>
    <row r="194" spans="1:10" ht="13.5" thickBot="1" x14ac:dyDescent="0.25">
      <c r="A194" s="255" t="s">
        <v>52</v>
      </c>
      <c r="B194" s="256" t="s">
        <v>8</v>
      </c>
      <c r="C194" s="256">
        <f>C191*12</f>
        <v>120</v>
      </c>
      <c r="D194" s="257">
        <f>IF(C192&lt;=C191,E193,0)</f>
        <v>162950.00000000003</v>
      </c>
      <c r="E194" s="257">
        <f>IFERROR(D194/C194,0)</f>
        <v>1357.916666666667</v>
      </c>
    </row>
    <row r="195" spans="1:10" ht="13.5" thickTop="1" x14ac:dyDescent="0.2">
      <c r="A195" s="277" t="s">
        <v>349</v>
      </c>
      <c r="B195" s="14" t="s">
        <v>10</v>
      </c>
      <c r="C195" s="14">
        <f>C190</f>
        <v>1</v>
      </c>
      <c r="D195" s="82">
        <v>120000</v>
      </c>
      <c r="E195" s="15">
        <f>C195*D195</f>
        <v>120000</v>
      </c>
      <c r="G195" s="9"/>
    </row>
    <row r="196" spans="1:10" x14ac:dyDescent="0.2">
      <c r="A196" s="298" t="s">
        <v>99</v>
      </c>
      <c r="B196" s="17" t="s">
        <v>100</v>
      </c>
      <c r="C196" s="81">
        <v>10</v>
      </c>
      <c r="D196" s="18"/>
      <c r="E196" s="18"/>
    </row>
    <row r="197" spans="1:10" x14ac:dyDescent="0.2">
      <c r="A197" s="298" t="s">
        <v>350</v>
      </c>
      <c r="B197" s="17" t="s">
        <v>100</v>
      </c>
      <c r="C197" s="81">
        <v>0</v>
      </c>
      <c r="D197" s="18"/>
      <c r="E197" s="18"/>
      <c r="F197" s="20"/>
      <c r="I197" s="80"/>
      <c r="J197" s="80"/>
    </row>
    <row r="198" spans="1:10" x14ac:dyDescent="0.2">
      <c r="A198" s="298" t="s">
        <v>101</v>
      </c>
      <c r="B198" s="17" t="s">
        <v>2</v>
      </c>
      <c r="C198" s="132">
        <f>IFERROR(VLOOKUP(C196,'13. Depr'!A3:B17,2,FALSE),0)</f>
        <v>65.180000000000007</v>
      </c>
      <c r="D198" s="18">
        <f>E195</f>
        <v>120000</v>
      </c>
      <c r="E198" s="18">
        <f>C198*D198/100</f>
        <v>78216.000000000015</v>
      </c>
    </row>
    <row r="199" spans="1:10" x14ac:dyDescent="0.2">
      <c r="A199" s="96" t="s">
        <v>351</v>
      </c>
      <c r="B199" s="97" t="s">
        <v>8</v>
      </c>
      <c r="C199" s="97">
        <f>C196*12</f>
        <v>120</v>
      </c>
      <c r="D199" s="98">
        <f>IF(C197&lt;=C196,E198,0)</f>
        <v>78216.000000000015</v>
      </c>
      <c r="E199" s="98">
        <f>IFERROR(D199/C199,0)</f>
        <v>651.80000000000007</v>
      </c>
    </row>
    <row r="200" spans="1:10" x14ac:dyDescent="0.2">
      <c r="A200" s="96" t="s">
        <v>373</v>
      </c>
      <c r="B200" s="97" t="s">
        <v>8</v>
      </c>
      <c r="C200" s="97">
        <v>1</v>
      </c>
      <c r="D200" s="98">
        <f>IF(C198&lt;=C197,E199,0)</f>
        <v>0</v>
      </c>
      <c r="E200" s="98">
        <f>(E194+E199)*0.1</f>
        <v>200.97166666666672</v>
      </c>
    </row>
    <row r="201" spans="1:10" x14ac:dyDescent="0.2">
      <c r="A201" s="109" t="s">
        <v>248</v>
      </c>
      <c r="B201" s="110"/>
      <c r="C201" s="110"/>
      <c r="D201" s="111"/>
      <c r="E201" s="112">
        <f>E194+E199+E200</f>
        <v>2210.688333333334</v>
      </c>
    </row>
    <row r="202" spans="1:10" ht="13.5" thickBot="1" x14ac:dyDescent="0.25">
      <c r="A202" s="96" t="s">
        <v>249</v>
      </c>
      <c r="B202" s="97" t="s">
        <v>10</v>
      </c>
      <c r="C202" s="81">
        <v>1</v>
      </c>
      <c r="D202" s="98">
        <f>E201</f>
        <v>2210.688333333334</v>
      </c>
      <c r="E202" s="112">
        <f>C202*D202</f>
        <v>2210.688333333334</v>
      </c>
    </row>
    <row r="203" spans="1:10" ht="13.5" thickBot="1" x14ac:dyDescent="0.25">
      <c r="A203" s="253"/>
      <c r="B203" s="253"/>
      <c r="C203" s="253"/>
      <c r="D203" s="115" t="s">
        <v>184</v>
      </c>
      <c r="E203" s="286">
        <f>E145</f>
        <v>0.46568181818181825</v>
      </c>
      <c r="F203" s="21">
        <f>E202*E203</f>
        <v>1029.4773625000005</v>
      </c>
    </row>
    <row r="204" spans="1:10" ht="11.25" customHeight="1" x14ac:dyDescent="0.2"/>
    <row r="205" spans="1:10" ht="13.5" thickBot="1" x14ac:dyDescent="0.25">
      <c r="A205" s="100" t="s">
        <v>106</v>
      </c>
    </row>
    <row r="206" spans="1:10" ht="13.5" thickBot="1" x14ac:dyDescent="0.25">
      <c r="A206" s="102" t="s">
        <v>64</v>
      </c>
      <c r="B206" s="103" t="s">
        <v>65</v>
      </c>
      <c r="C206" s="103" t="s">
        <v>42</v>
      </c>
      <c r="D206" s="59" t="s">
        <v>223</v>
      </c>
      <c r="E206" s="104" t="s">
        <v>66</v>
      </c>
      <c r="F206" s="60" t="s">
        <v>67</v>
      </c>
      <c r="I206" s="80"/>
      <c r="J206" s="80"/>
    </row>
    <row r="207" spans="1:10" x14ac:dyDescent="0.2">
      <c r="A207" s="16" t="s">
        <v>105</v>
      </c>
      <c r="B207" s="17" t="s">
        <v>10</v>
      </c>
      <c r="C207" s="14">
        <v>1</v>
      </c>
      <c r="D207" s="18">
        <f>D190</f>
        <v>250000</v>
      </c>
      <c r="E207" s="18">
        <f>C207*D207</f>
        <v>250000</v>
      </c>
      <c r="F207" s="20"/>
      <c r="I207" s="80"/>
      <c r="J207" s="80"/>
    </row>
    <row r="208" spans="1:10" x14ac:dyDescent="0.2">
      <c r="A208" s="16" t="s">
        <v>204</v>
      </c>
      <c r="B208" s="17" t="s">
        <v>2</v>
      </c>
      <c r="C208" s="83">
        <v>10</v>
      </c>
      <c r="D208" s="18"/>
      <c r="E208" s="18"/>
      <c r="F208" s="20"/>
      <c r="I208" s="80"/>
      <c r="J208" s="80"/>
    </row>
    <row r="209" spans="1:10" x14ac:dyDescent="0.2">
      <c r="A209" s="16" t="s">
        <v>202</v>
      </c>
      <c r="B209" s="17" t="s">
        <v>35</v>
      </c>
      <c r="C209" s="137">
        <f>IFERROR(IF(C192&lt;=C191,E190-(C193/(100*C191)*C192)*E190,E190-E193),0)</f>
        <v>250000</v>
      </c>
      <c r="D209" s="18"/>
      <c r="E209" s="18"/>
      <c r="F209" s="20"/>
      <c r="I209" s="80"/>
      <c r="J209" s="80"/>
    </row>
    <row r="210" spans="1:10" x14ac:dyDescent="0.2">
      <c r="A210" s="16" t="s">
        <v>108</v>
      </c>
      <c r="B210" s="17" t="s">
        <v>35</v>
      </c>
      <c r="C210" s="78">
        <f>IFERROR(IF(C192&gt;=C191,C209,((((C209)-(E190-E193))*(((C191-C192)+1)/(2*(C191-C192))))+(E190-E193))),0)</f>
        <v>176672.5</v>
      </c>
      <c r="D210" s="18"/>
      <c r="E210" s="18"/>
      <c r="F210" s="20"/>
      <c r="I210" s="80"/>
      <c r="J210" s="80"/>
    </row>
    <row r="211" spans="1:10" ht="13.5" thickBot="1" x14ac:dyDescent="0.25">
      <c r="A211" s="255" t="s">
        <v>109</v>
      </c>
      <c r="B211" s="256" t="s">
        <v>35</v>
      </c>
      <c r="C211" s="256"/>
      <c r="D211" s="258">
        <f>C208*C210/12/100</f>
        <v>1472.2708333333335</v>
      </c>
      <c r="E211" s="257">
        <f>D211</f>
        <v>1472.2708333333335</v>
      </c>
      <c r="F211" s="20"/>
      <c r="I211" s="80"/>
      <c r="J211" s="80"/>
    </row>
    <row r="212" spans="1:10" ht="13.5" thickTop="1" x14ac:dyDescent="0.2">
      <c r="A212" s="277" t="s">
        <v>349</v>
      </c>
      <c r="B212" s="14" t="s">
        <v>10</v>
      </c>
      <c r="C212" s="14">
        <f>C195</f>
        <v>1</v>
      </c>
      <c r="D212" s="15">
        <f>D195</f>
        <v>120000</v>
      </c>
      <c r="E212" s="15">
        <f>C212*D212</f>
        <v>120000</v>
      </c>
      <c r="F212" s="20"/>
      <c r="I212" s="80"/>
      <c r="J212" s="80"/>
    </row>
    <row r="213" spans="1:10" x14ac:dyDescent="0.2">
      <c r="A213" s="298" t="s">
        <v>204</v>
      </c>
      <c r="B213" s="17" t="s">
        <v>2</v>
      </c>
      <c r="C213" s="17">
        <f>C208</f>
        <v>10</v>
      </c>
      <c r="D213" s="18"/>
      <c r="E213" s="18"/>
      <c r="F213" s="20"/>
      <c r="I213" s="80"/>
      <c r="J213" s="80"/>
    </row>
    <row r="214" spans="1:10" x14ac:dyDescent="0.2">
      <c r="A214" s="16" t="s">
        <v>203</v>
      </c>
      <c r="B214" s="17" t="s">
        <v>35</v>
      </c>
      <c r="C214" s="137">
        <f>IFERROR(IF(C197&lt;=C196,E195-(C198/(100*C196)*C197)*E195,E195-E198),0)</f>
        <v>120000</v>
      </c>
      <c r="D214" s="18"/>
      <c r="E214" s="18"/>
      <c r="F214" s="20"/>
      <c r="I214" s="80"/>
      <c r="J214" s="80"/>
    </row>
    <row r="215" spans="1:10" x14ac:dyDescent="0.2">
      <c r="A215" s="298" t="s">
        <v>370</v>
      </c>
      <c r="B215" s="17" t="s">
        <v>35</v>
      </c>
      <c r="C215" s="78">
        <f>IFERROR(IF(C197&gt;=C196,C214,((((C214)-(E195-E198))*(((C196-C197)+1)/(2*(C196-C197))))+(E195-E198))),0)</f>
        <v>84802.799999999988</v>
      </c>
      <c r="D215" s="18"/>
      <c r="E215" s="18"/>
      <c r="F215" s="20"/>
      <c r="I215" s="80"/>
      <c r="J215" s="80"/>
    </row>
    <row r="216" spans="1:10" x14ac:dyDescent="0.2">
      <c r="A216" s="96" t="s">
        <v>371</v>
      </c>
      <c r="B216" s="97" t="s">
        <v>35</v>
      </c>
      <c r="C216" s="97"/>
      <c r="D216" s="106">
        <f>C213*C215/12/100</f>
        <v>706.68999999999983</v>
      </c>
      <c r="E216" s="98">
        <f>D216</f>
        <v>706.68999999999983</v>
      </c>
      <c r="F216" s="20"/>
      <c r="I216" s="80"/>
      <c r="J216" s="80"/>
    </row>
    <row r="217" spans="1:10" x14ac:dyDescent="0.2">
      <c r="A217" s="96" t="s">
        <v>373</v>
      </c>
      <c r="B217" s="97" t="s">
        <v>8</v>
      </c>
      <c r="C217" s="97">
        <v>1</v>
      </c>
      <c r="D217" s="98"/>
      <c r="E217" s="98">
        <f>(E211+E216)*0.1</f>
        <v>217.89608333333337</v>
      </c>
      <c r="F217" s="20"/>
      <c r="I217" s="80"/>
      <c r="J217" s="80"/>
    </row>
    <row r="218" spans="1:10" x14ac:dyDescent="0.2">
      <c r="A218" s="109" t="s">
        <v>248</v>
      </c>
      <c r="B218" s="110"/>
      <c r="C218" s="110"/>
      <c r="D218" s="111"/>
      <c r="E218" s="112">
        <f>E211+E216+E217</f>
        <v>2396.8569166666671</v>
      </c>
      <c r="F218" s="20"/>
      <c r="G218" s="321"/>
      <c r="I218" s="80"/>
      <c r="J218" s="80"/>
    </row>
    <row r="219" spans="1:10" ht="13.5" thickBot="1" x14ac:dyDescent="0.25">
      <c r="A219" s="96" t="s">
        <v>249</v>
      </c>
      <c r="B219" s="97" t="s">
        <v>10</v>
      </c>
      <c r="C219" s="17">
        <f>C202</f>
        <v>1</v>
      </c>
      <c r="D219" s="98">
        <f>E218</f>
        <v>2396.8569166666671</v>
      </c>
      <c r="E219" s="112">
        <f>C219*D219</f>
        <v>2396.8569166666671</v>
      </c>
      <c r="F219" s="20"/>
      <c r="I219" s="80"/>
      <c r="J219" s="80"/>
    </row>
    <row r="220" spans="1:10" ht="13.5" thickBot="1" x14ac:dyDescent="0.25">
      <c r="C220" s="19"/>
      <c r="D220" s="115" t="s">
        <v>184</v>
      </c>
      <c r="E220" s="286">
        <f>E203</f>
        <v>0.46568181818181825</v>
      </c>
      <c r="F220" s="21">
        <f>E219*E220</f>
        <v>1116.1726868750004</v>
      </c>
      <c r="I220" s="80"/>
      <c r="J220" s="80"/>
    </row>
    <row r="221" spans="1:10" ht="11.25" customHeight="1" x14ac:dyDescent="0.2">
      <c r="I221" s="80"/>
      <c r="J221" s="80"/>
    </row>
    <row r="222" spans="1:10" ht="13.5" thickBot="1" x14ac:dyDescent="0.25">
      <c r="A222" s="9" t="s">
        <v>53</v>
      </c>
      <c r="I222" s="80"/>
      <c r="J222" s="80"/>
    </row>
    <row r="223" spans="1:10" ht="13.5" thickBot="1" x14ac:dyDescent="0.25">
      <c r="A223" s="57" t="s">
        <v>64</v>
      </c>
      <c r="B223" s="58" t="s">
        <v>65</v>
      </c>
      <c r="C223" s="58" t="s">
        <v>42</v>
      </c>
      <c r="D223" s="59" t="s">
        <v>223</v>
      </c>
      <c r="E223" s="59" t="s">
        <v>66</v>
      </c>
      <c r="F223" s="60" t="s">
        <v>67</v>
      </c>
      <c r="I223" s="80"/>
      <c r="J223" s="80"/>
    </row>
    <row r="224" spans="1:10" x14ac:dyDescent="0.2">
      <c r="A224" s="13" t="s">
        <v>12</v>
      </c>
      <c r="B224" s="14" t="s">
        <v>10</v>
      </c>
      <c r="C224" s="15">
        <f>C202</f>
        <v>1</v>
      </c>
      <c r="D224" s="15">
        <f>0.01*($C$209)</f>
        <v>2500</v>
      </c>
      <c r="E224" s="15">
        <f>C224*D224</f>
        <v>2500</v>
      </c>
      <c r="I224" s="80"/>
      <c r="J224" s="80"/>
    </row>
    <row r="225" spans="1:10" x14ac:dyDescent="0.2">
      <c r="A225" s="16" t="s">
        <v>183</v>
      </c>
      <c r="B225" s="17" t="s">
        <v>10</v>
      </c>
      <c r="C225" s="15">
        <f>C202</f>
        <v>1</v>
      </c>
      <c r="D225" s="84">
        <v>94.7</v>
      </c>
      <c r="E225" s="18">
        <f>C225*D225</f>
        <v>94.7</v>
      </c>
      <c r="I225" s="80"/>
      <c r="J225" s="80"/>
    </row>
    <row r="226" spans="1:10" x14ac:dyDescent="0.2">
      <c r="A226" s="16" t="s">
        <v>13</v>
      </c>
      <c r="B226" s="17" t="s">
        <v>10</v>
      </c>
      <c r="C226" s="15">
        <f>C202</f>
        <v>1</v>
      </c>
      <c r="D226" s="84">
        <v>3000</v>
      </c>
      <c r="E226" s="18">
        <f>C226*D226</f>
        <v>3000</v>
      </c>
      <c r="F226" s="31"/>
      <c r="I226" s="80"/>
      <c r="J226" s="80"/>
    </row>
    <row r="227" spans="1:10" ht="13.5" thickBot="1" x14ac:dyDescent="0.25">
      <c r="A227" s="96" t="s">
        <v>14</v>
      </c>
      <c r="B227" s="97" t="s">
        <v>8</v>
      </c>
      <c r="C227" s="97">
        <v>12</v>
      </c>
      <c r="D227" s="98">
        <f>SUM(E224:E226)</f>
        <v>5594.7</v>
      </c>
      <c r="E227" s="98">
        <f>D227/C227</f>
        <v>466.22499999999997</v>
      </c>
      <c r="I227" s="80"/>
      <c r="J227" s="80"/>
    </row>
    <row r="228" spans="1:10" ht="13.5" thickBot="1" x14ac:dyDescent="0.25">
      <c r="D228" s="115" t="s">
        <v>184</v>
      </c>
      <c r="E228" s="286">
        <f>E220</f>
        <v>0.46568181818181825</v>
      </c>
      <c r="F228" s="116">
        <f>E227*E228</f>
        <v>217.11250568181819</v>
      </c>
      <c r="I228" s="80"/>
      <c r="J228" s="80"/>
    </row>
    <row r="229" spans="1:10" ht="11.25" customHeight="1" x14ac:dyDescent="0.2">
      <c r="I229" s="80"/>
      <c r="J229" s="80"/>
    </row>
    <row r="230" spans="1:10" x14ac:dyDescent="0.2">
      <c r="A230" s="9" t="s">
        <v>54</v>
      </c>
      <c r="B230" s="32"/>
      <c r="I230" s="80"/>
      <c r="J230" s="80"/>
    </row>
    <row r="231" spans="1:10" x14ac:dyDescent="0.2">
      <c r="B231" s="32"/>
      <c r="I231" s="80"/>
      <c r="J231" s="80"/>
    </row>
    <row r="232" spans="1:10" x14ac:dyDescent="0.2">
      <c r="A232" s="96" t="s">
        <v>111</v>
      </c>
      <c r="B232" s="304">
        <f>'12. Roteiros'!BK12</f>
        <v>1135.2604285714285</v>
      </c>
      <c r="I232" s="80"/>
      <c r="J232" s="80"/>
    </row>
    <row r="233" spans="1:10" ht="13.5" thickBot="1" x14ac:dyDescent="0.25">
      <c r="B233" s="32"/>
      <c r="I233" s="80"/>
      <c r="J233" s="80"/>
    </row>
    <row r="234" spans="1:10" ht="13.5" thickBot="1" x14ac:dyDescent="0.25">
      <c r="A234" s="57" t="s">
        <v>64</v>
      </c>
      <c r="B234" s="58" t="s">
        <v>65</v>
      </c>
      <c r="C234" s="58" t="s">
        <v>247</v>
      </c>
      <c r="D234" s="59" t="s">
        <v>223</v>
      </c>
      <c r="E234" s="59" t="s">
        <v>66</v>
      </c>
      <c r="F234" s="60" t="s">
        <v>67</v>
      </c>
      <c r="I234" s="80"/>
      <c r="J234" s="80"/>
    </row>
    <row r="235" spans="1:10" x14ac:dyDescent="0.2">
      <c r="A235" s="13" t="s">
        <v>15</v>
      </c>
      <c r="B235" s="14" t="s">
        <v>16</v>
      </c>
      <c r="C235" s="91">
        <v>2.1</v>
      </c>
      <c r="D235" s="82">
        <v>6.07</v>
      </c>
      <c r="E235" s="15"/>
      <c r="I235" s="80"/>
      <c r="J235" s="80"/>
    </row>
    <row r="236" spans="1:10" x14ac:dyDescent="0.2">
      <c r="A236" s="16" t="s">
        <v>17</v>
      </c>
      <c r="B236" s="17" t="s">
        <v>18</v>
      </c>
      <c r="C236" s="89">
        <f>B232</f>
        <v>1135.2604285714285</v>
      </c>
      <c r="D236" s="252">
        <f>IFERROR(+D235/C235,"-")</f>
        <v>2.8904761904761904</v>
      </c>
      <c r="E236" s="18">
        <f>IFERROR(C236*D236,"-")</f>
        <v>3281.4432387755101</v>
      </c>
      <c r="I236" s="80"/>
      <c r="J236" s="80"/>
    </row>
    <row r="237" spans="1:10" x14ac:dyDescent="0.2">
      <c r="A237" s="16" t="s">
        <v>224</v>
      </c>
      <c r="B237" s="17" t="s">
        <v>19</v>
      </c>
      <c r="C237" s="93">
        <v>1.33</v>
      </c>
      <c r="D237" s="84">
        <v>20</v>
      </c>
      <c r="E237" s="18"/>
      <c r="G237" s="105"/>
      <c r="I237" s="80"/>
      <c r="J237" s="80"/>
    </row>
    <row r="238" spans="1:10" x14ac:dyDescent="0.2">
      <c r="A238" s="16" t="s">
        <v>20</v>
      </c>
      <c r="B238" s="17" t="s">
        <v>18</v>
      </c>
      <c r="C238" s="89">
        <f>C236</f>
        <v>1135.2604285714285</v>
      </c>
      <c r="D238" s="249">
        <f>+C237*D237/1000</f>
        <v>2.6600000000000002E-2</v>
      </c>
      <c r="E238" s="18">
        <f>C238*D238</f>
        <v>30.197927400000001</v>
      </c>
      <c r="G238" s="105"/>
      <c r="I238" s="80"/>
      <c r="J238" s="80"/>
    </row>
    <row r="239" spans="1:10" x14ac:dyDescent="0.2">
      <c r="A239" s="16" t="s">
        <v>225</v>
      </c>
      <c r="B239" s="17" t="s">
        <v>19</v>
      </c>
      <c r="C239" s="93">
        <v>0.18</v>
      </c>
      <c r="D239" s="84">
        <v>26</v>
      </c>
      <c r="E239" s="18"/>
      <c r="G239" s="105"/>
      <c r="I239" s="80"/>
      <c r="J239" s="80"/>
    </row>
    <row r="240" spans="1:10" x14ac:dyDescent="0.2">
      <c r="A240" s="16" t="s">
        <v>21</v>
      </c>
      <c r="B240" s="17" t="s">
        <v>18</v>
      </c>
      <c r="C240" s="89">
        <f>C236</f>
        <v>1135.2604285714285</v>
      </c>
      <c r="D240" s="249">
        <f>+C239*D239/1000</f>
        <v>4.6800000000000001E-3</v>
      </c>
      <c r="E240" s="18">
        <f>C240*D240</f>
        <v>5.313018805714286</v>
      </c>
      <c r="G240" s="105"/>
      <c r="I240" s="80"/>
      <c r="J240" s="80"/>
    </row>
    <row r="241" spans="1:10" x14ac:dyDescent="0.2">
      <c r="A241" s="16" t="s">
        <v>226</v>
      </c>
      <c r="B241" s="17" t="s">
        <v>19</v>
      </c>
      <c r="C241" s="93">
        <v>2</v>
      </c>
      <c r="D241" s="84">
        <v>22</v>
      </c>
      <c r="E241" s="18"/>
      <c r="G241" s="105"/>
      <c r="I241" s="80"/>
      <c r="J241" s="80"/>
    </row>
    <row r="242" spans="1:10" x14ac:dyDescent="0.2">
      <c r="A242" s="16" t="s">
        <v>22</v>
      </c>
      <c r="B242" s="17" t="s">
        <v>18</v>
      </c>
      <c r="C242" s="89">
        <f>C236</f>
        <v>1135.2604285714285</v>
      </c>
      <c r="D242" s="249">
        <f>+C241*D241/1000</f>
        <v>4.3999999999999997E-2</v>
      </c>
      <c r="E242" s="18">
        <f>C242*D242</f>
        <v>49.951458857142853</v>
      </c>
      <c r="G242" s="105"/>
      <c r="I242" s="80"/>
      <c r="J242" s="80"/>
    </row>
    <row r="243" spans="1:10" x14ac:dyDescent="0.2">
      <c r="A243" s="298" t="s">
        <v>369</v>
      </c>
      <c r="B243" s="322" t="s">
        <v>19</v>
      </c>
      <c r="C243" s="331">
        <v>20</v>
      </c>
      <c r="D243" s="309">
        <v>4</v>
      </c>
      <c r="E243" s="306"/>
      <c r="G243" s="105"/>
      <c r="I243" s="80"/>
      <c r="J243" s="80"/>
    </row>
    <row r="244" spans="1:10" x14ac:dyDescent="0.2">
      <c r="A244" s="298" t="s">
        <v>368</v>
      </c>
      <c r="B244" s="322" t="s">
        <v>18</v>
      </c>
      <c r="C244" s="308">
        <f>C238</f>
        <v>1135.2604285714285</v>
      </c>
      <c r="D244" s="310">
        <f>+C243*D243/1000</f>
        <v>0.08</v>
      </c>
      <c r="E244" s="306">
        <f>C244*D244</f>
        <v>90.820834285714284</v>
      </c>
      <c r="G244" s="105"/>
      <c r="I244" s="80"/>
      <c r="J244" s="80"/>
    </row>
    <row r="245" spans="1:10" x14ac:dyDescent="0.2">
      <c r="A245" s="16" t="s">
        <v>23</v>
      </c>
      <c r="B245" s="17" t="s">
        <v>24</v>
      </c>
      <c r="C245" s="93">
        <v>1</v>
      </c>
      <c r="D245" s="84">
        <v>20</v>
      </c>
      <c r="E245" s="18"/>
      <c r="G245" s="105"/>
      <c r="I245" s="80"/>
      <c r="J245" s="80"/>
    </row>
    <row r="246" spans="1:10" x14ac:dyDescent="0.2">
      <c r="A246" s="16" t="s">
        <v>25</v>
      </c>
      <c r="B246" s="17" t="s">
        <v>18</v>
      </c>
      <c r="C246" s="89">
        <f>C236</f>
        <v>1135.2604285714285</v>
      </c>
      <c r="D246" s="249">
        <f>+C245*D245/1000</f>
        <v>0.02</v>
      </c>
      <c r="E246" s="18">
        <f>C246*D246</f>
        <v>22.705208571428571</v>
      </c>
      <c r="G246" s="105"/>
      <c r="I246" s="80"/>
      <c r="J246" s="80"/>
    </row>
    <row r="247" spans="1:10" ht="13.5" thickBot="1" x14ac:dyDescent="0.25">
      <c r="A247" s="96" t="s">
        <v>246</v>
      </c>
      <c r="B247" s="97" t="s">
        <v>112</v>
      </c>
      <c r="C247" s="250"/>
      <c r="D247" s="251">
        <f>IFERROR(D236+D238+D240+D242+D246,0)</f>
        <v>2.9857561904761907</v>
      </c>
      <c r="E247" s="18"/>
      <c r="G247" s="105"/>
      <c r="I247" s="80"/>
      <c r="J247" s="80"/>
    </row>
    <row r="248" spans="1:10" ht="13.5" thickBot="1" x14ac:dyDescent="0.25">
      <c r="F248" s="21">
        <f>SUM(E235:E246)</f>
        <v>3480.4316866955101</v>
      </c>
      <c r="I248" s="80"/>
      <c r="J248" s="80"/>
    </row>
    <row r="249" spans="1:10" ht="11.25" customHeight="1" x14ac:dyDescent="0.2">
      <c r="I249" s="80"/>
      <c r="J249" s="80"/>
    </row>
    <row r="250" spans="1:10" ht="13.5" thickBot="1" x14ac:dyDescent="0.25">
      <c r="A250" s="9" t="s">
        <v>55</v>
      </c>
      <c r="I250" s="80"/>
      <c r="J250" s="80"/>
    </row>
    <row r="251" spans="1:10" ht="13.5" thickBot="1" x14ac:dyDescent="0.25">
      <c r="A251" s="57" t="s">
        <v>64</v>
      </c>
      <c r="B251" s="58" t="s">
        <v>65</v>
      </c>
      <c r="C251" s="58" t="s">
        <v>42</v>
      </c>
      <c r="D251" s="59" t="s">
        <v>223</v>
      </c>
      <c r="E251" s="59" t="s">
        <v>66</v>
      </c>
      <c r="F251" s="60" t="s">
        <v>67</v>
      </c>
      <c r="I251" s="80"/>
      <c r="J251" s="80"/>
    </row>
    <row r="252" spans="1:10" ht="13.5" thickBot="1" x14ac:dyDescent="0.25">
      <c r="A252" s="13" t="s">
        <v>110</v>
      </c>
      <c r="B252" s="14" t="s">
        <v>112</v>
      </c>
      <c r="C252" s="18">
        <f>C236</f>
        <v>1135.2604285714285</v>
      </c>
      <c r="D252" s="82">
        <v>0.78</v>
      </c>
      <c r="E252" s="15">
        <f>C252*D252</f>
        <v>885.50313428571428</v>
      </c>
      <c r="I252" s="80"/>
      <c r="J252" s="80"/>
    </row>
    <row r="253" spans="1:10" ht="13.5" thickBot="1" x14ac:dyDescent="0.25">
      <c r="F253" s="21">
        <f>E252</f>
        <v>885.50313428571428</v>
      </c>
      <c r="I253" s="80"/>
      <c r="J253" s="80"/>
    </row>
    <row r="254" spans="1:10" ht="11.25" customHeight="1" x14ac:dyDescent="0.2">
      <c r="I254" s="80"/>
      <c r="J254" s="80"/>
    </row>
    <row r="255" spans="1:10" ht="13.5" thickBot="1" x14ac:dyDescent="0.25">
      <c r="A255" s="9" t="s">
        <v>62</v>
      </c>
      <c r="I255" s="80"/>
      <c r="J255" s="80"/>
    </row>
    <row r="256" spans="1:10" ht="13.5" thickBot="1" x14ac:dyDescent="0.25">
      <c r="A256" s="57" t="s">
        <v>64</v>
      </c>
      <c r="B256" s="58" t="s">
        <v>65</v>
      </c>
      <c r="C256" s="58" t="s">
        <v>42</v>
      </c>
      <c r="D256" s="59" t="s">
        <v>223</v>
      </c>
      <c r="E256" s="59" t="s">
        <v>66</v>
      </c>
      <c r="F256" s="60" t="s">
        <v>67</v>
      </c>
      <c r="I256" s="80"/>
      <c r="J256" s="80"/>
    </row>
    <row r="257" spans="1:10" x14ac:dyDescent="0.2">
      <c r="A257" s="277" t="s">
        <v>367</v>
      </c>
      <c r="B257" s="14" t="s">
        <v>10</v>
      </c>
      <c r="C257" s="90">
        <v>6</v>
      </c>
      <c r="D257" s="82">
        <v>2500</v>
      </c>
      <c r="E257" s="15">
        <f>C257*D257</f>
        <v>15000</v>
      </c>
      <c r="I257" s="80"/>
      <c r="J257" s="80"/>
    </row>
    <row r="258" spans="1:10" x14ac:dyDescent="0.2">
      <c r="A258" s="13" t="s">
        <v>113</v>
      </c>
      <c r="B258" s="14" t="s">
        <v>10</v>
      </c>
      <c r="C258" s="90">
        <v>2</v>
      </c>
      <c r="D258" s="99"/>
      <c r="E258" s="15"/>
      <c r="I258" s="80"/>
      <c r="J258" s="80"/>
    </row>
    <row r="259" spans="1:10" x14ac:dyDescent="0.2">
      <c r="A259" s="13" t="s">
        <v>71</v>
      </c>
      <c r="B259" s="14" t="s">
        <v>10</v>
      </c>
      <c r="C259" s="15">
        <f>C257*C258</f>
        <v>12</v>
      </c>
      <c r="D259" s="82">
        <v>650</v>
      </c>
      <c r="E259" s="15">
        <f>C259*D259</f>
        <v>7800</v>
      </c>
      <c r="I259" s="80"/>
      <c r="J259" s="80"/>
    </row>
    <row r="260" spans="1:10" x14ac:dyDescent="0.2">
      <c r="A260" s="16" t="s">
        <v>94</v>
      </c>
      <c r="B260" s="17" t="s">
        <v>26</v>
      </c>
      <c r="C260" s="92">
        <v>80000</v>
      </c>
      <c r="D260" s="18">
        <f>E257+E259</f>
        <v>22800</v>
      </c>
      <c r="E260" s="18">
        <f>IFERROR(D260/C260,"-")</f>
        <v>0.28499999999999998</v>
      </c>
      <c r="I260" s="80"/>
      <c r="J260" s="80"/>
    </row>
    <row r="261" spans="1:10" ht="13.5" thickBot="1" x14ac:dyDescent="0.25">
      <c r="A261" s="16" t="s">
        <v>57</v>
      </c>
      <c r="B261" s="17" t="s">
        <v>18</v>
      </c>
      <c r="C261" s="89">
        <f>B232</f>
        <v>1135.2604285714285</v>
      </c>
      <c r="D261" s="18">
        <f>E260</f>
        <v>0.28499999999999998</v>
      </c>
      <c r="E261" s="18">
        <f>IFERROR(C261*D261,0)</f>
        <v>323.5492221428571</v>
      </c>
      <c r="I261" s="80"/>
      <c r="J261" s="80"/>
    </row>
    <row r="262" spans="1:10" ht="13.5" thickBot="1" x14ac:dyDescent="0.25">
      <c r="F262" s="21">
        <f>E261</f>
        <v>323.5492221428571</v>
      </c>
      <c r="I262" s="80"/>
      <c r="J262" s="80"/>
    </row>
    <row r="263" spans="1:10" ht="11.25" customHeight="1" x14ac:dyDescent="0.2">
      <c r="I263" s="80"/>
      <c r="J263" s="80"/>
    </row>
    <row r="264" spans="1:10" ht="11.25" customHeight="1" thickBot="1" x14ac:dyDescent="0.25">
      <c r="G264" s="9"/>
    </row>
    <row r="265" spans="1:10" ht="13.5" thickBot="1" x14ac:dyDescent="0.25">
      <c r="A265" s="24" t="s">
        <v>216</v>
      </c>
      <c r="B265" s="25"/>
      <c r="C265" s="25"/>
      <c r="D265" s="26"/>
      <c r="E265" s="27"/>
      <c r="F265" s="21">
        <f>+SUM(F190:F264)</f>
        <v>7052.2465981809009</v>
      </c>
      <c r="G265" s="9"/>
    </row>
    <row r="266" spans="1:10" ht="11.25" customHeight="1" x14ac:dyDescent="0.2">
      <c r="G266" s="9"/>
    </row>
    <row r="267" spans="1:10" x14ac:dyDescent="0.2">
      <c r="A267" s="11" t="s">
        <v>385</v>
      </c>
      <c r="B267" s="11"/>
      <c r="C267" s="11"/>
      <c r="D267" s="34"/>
      <c r="E267" s="34"/>
      <c r="F267" s="33"/>
      <c r="G267" s="9"/>
    </row>
    <row r="268" spans="1:10" ht="11.25" customHeight="1" thickBot="1" x14ac:dyDescent="0.25">
      <c r="G268" s="9"/>
    </row>
    <row r="269" spans="1:10" ht="13.5" thickBot="1" x14ac:dyDescent="0.25">
      <c r="A269" s="57" t="s">
        <v>64</v>
      </c>
      <c r="B269" s="58" t="s">
        <v>65</v>
      </c>
      <c r="C269" s="58" t="s">
        <v>42</v>
      </c>
      <c r="D269" s="59" t="s">
        <v>223</v>
      </c>
      <c r="E269" s="59" t="s">
        <v>66</v>
      </c>
      <c r="F269" s="60" t="s">
        <v>67</v>
      </c>
      <c r="G269" s="9"/>
    </row>
    <row r="270" spans="1:10" x14ac:dyDescent="0.2">
      <c r="A270" s="16" t="s">
        <v>72</v>
      </c>
      <c r="B270" s="17" t="s">
        <v>10</v>
      </c>
      <c r="C270" s="94">
        <v>0.16666666666666666</v>
      </c>
      <c r="D270" s="82">
        <v>45</v>
      </c>
      <c r="E270" s="18">
        <f t="shared" ref="E270:E272" si="8">C270*D270</f>
        <v>7.5</v>
      </c>
      <c r="F270" s="52"/>
      <c r="G270" s="9"/>
    </row>
    <row r="271" spans="1:10" x14ac:dyDescent="0.2">
      <c r="A271" s="16" t="s">
        <v>28</v>
      </c>
      <c r="B271" s="17" t="s">
        <v>10</v>
      </c>
      <c r="C271" s="94">
        <v>0.16666666666666666</v>
      </c>
      <c r="D271" s="82">
        <v>30</v>
      </c>
      <c r="E271" s="18">
        <f t="shared" si="8"/>
        <v>5</v>
      </c>
      <c r="F271" s="52"/>
      <c r="G271" s="9"/>
    </row>
    <row r="272" spans="1:10" ht="13.5" thickBot="1" x14ac:dyDescent="0.25">
      <c r="A272" s="16" t="s">
        <v>29</v>
      </c>
      <c r="B272" s="17" t="s">
        <v>10</v>
      </c>
      <c r="C272" s="94">
        <v>0.16666666666666666</v>
      </c>
      <c r="D272" s="82">
        <v>32</v>
      </c>
      <c r="E272" s="18">
        <f t="shared" si="8"/>
        <v>5.333333333333333</v>
      </c>
      <c r="F272" s="52"/>
      <c r="G272" s="9"/>
    </row>
    <row r="273" spans="1:7" ht="13.5" thickBot="1" x14ac:dyDescent="0.25">
      <c r="A273" s="11"/>
      <c r="B273" s="11"/>
      <c r="C273" s="11"/>
      <c r="D273" s="11"/>
      <c r="E273" s="34"/>
      <c r="F273" s="21">
        <f>SUM(E270:E272)</f>
        <v>17.833333333333332</v>
      </c>
      <c r="G273" s="9"/>
    </row>
    <row r="274" spans="1:7" ht="11.25" customHeight="1" thickBot="1" x14ac:dyDescent="0.25">
      <c r="G274" s="9"/>
    </row>
    <row r="275" spans="1:7" ht="13.5" thickBot="1" x14ac:dyDescent="0.25">
      <c r="A275" s="24" t="s">
        <v>217</v>
      </c>
      <c r="B275" s="25"/>
      <c r="C275" s="25"/>
      <c r="D275" s="26"/>
      <c r="E275" s="27"/>
      <c r="F275" s="21">
        <f>+F273</f>
        <v>17.833333333333332</v>
      </c>
      <c r="G275" s="9"/>
    </row>
    <row r="276" spans="1:7" ht="11.25" customHeight="1" x14ac:dyDescent="0.2">
      <c r="G276" s="9"/>
    </row>
    <row r="277" spans="1:7" ht="13.15" customHeight="1" x14ac:dyDescent="0.2">
      <c r="A277" s="11" t="s">
        <v>382</v>
      </c>
      <c r="B277" s="11"/>
      <c r="C277" s="11"/>
      <c r="D277" s="34"/>
      <c r="E277" s="34"/>
      <c r="F277" s="33"/>
      <c r="G277" s="9"/>
    </row>
    <row r="278" spans="1:7" ht="11.25" customHeight="1" thickBot="1" x14ac:dyDescent="0.25">
      <c r="G278" s="9"/>
    </row>
    <row r="279" spans="1:7" ht="13.9" customHeight="1" thickBot="1" x14ac:dyDescent="0.25">
      <c r="A279" s="57" t="s">
        <v>64</v>
      </c>
      <c r="B279" s="58" t="s">
        <v>65</v>
      </c>
      <c r="C279" s="58" t="s">
        <v>42</v>
      </c>
      <c r="D279" s="59" t="s">
        <v>223</v>
      </c>
      <c r="E279" s="59" t="s">
        <v>66</v>
      </c>
      <c r="F279" s="60" t="s">
        <v>67</v>
      </c>
      <c r="G279" s="9"/>
    </row>
    <row r="280" spans="1:7" ht="13.9" hidden="1" customHeight="1" x14ac:dyDescent="0.2">
      <c r="A280" s="298" t="s">
        <v>380</v>
      </c>
      <c r="B280" s="51" t="s">
        <v>10</v>
      </c>
      <c r="C280" s="66"/>
      <c r="D280" s="84">
        <v>500</v>
      </c>
      <c r="E280" s="18">
        <f>+D280*C280</f>
        <v>0</v>
      </c>
      <c r="F280" s="52"/>
      <c r="G280" s="9"/>
    </row>
    <row r="281" spans="1:7" ht="13.9" hidden="1" customHeight="1" x14ac:dyDescent="0.2">
      <c r="A281" s="298" t="s">
        <v>379</v>
      </c>
      <c r="B281" s="51" t="s">
        <v>10</v>
      </c>
      <c r="C281" s="17"/>
      <c r="D281" s="84">
        <v>150</v>
      </c>
      <c r="E281" s="18">
        <f t="shared" ref="E281:E285" si="9">+D281*C281</f>
        <v>0</v>
      </c>
      <c r="F281" s="52"/>
      <c r="G281" s="9"/>
    </row>
    <row r="282" spans="1:7" ht="13.9" hidden="1" customHeight="1" x14ac:dyDescent="0.2">
      <c r="A282" s="298" t="s">
        <v>381</v>
      </c>
      <c r="B282" s="17" t="s">
        <v>10</v>
      </c>
      <c r="C282" s="66"/>
      <c r="D282" s="84">
        <v>200</v>
      </c>
      <c r="E282" s="18">
        <f t="shared" si="9"/>
        <v>0</v>
      </c>
      <c r="F282" s="52"/>
      <c r="G282" s="9"/>
    </row>
    <row r="283" spans="1:7" ht="13.9" customHeight="1" x14ac:dyDescent="0.2">
      <c r="A283" s="298" t="s">
        <v>411</v>
      </c>
      <c r="B283" s="322" t="s">
        <v>10</v>
      </c>
      <c r="C283" s="330">
        <v>1</v>
      </c>
      <c r="D283" s="82">
        <v>130</v>
      </c>
      <c r="E283" s="18">
        <f t="shared" ref="E283:E284" si="10">C283*D283</f>
        <v>130</v>
      </c>
      <c r="F283" s="52"/>
      <c r="G283" s="9"/>
    </row>
    <row r="284" spans="1:7" ht="13.9" customHeight="1" x14ac:dyDescent="0.2">
      <c r="A284" s="298" t="s">
        <v>354</v>
      </c>
      <c r="B284" s="322" t="s">
        <v>10</v>
      </c>
      <c r="C284" s="94">
        <v>8.3333333333333329E-2</v>
      </c>
      <c r="D284" s="82">
        <v>150</v>
      </c>
      <c r="E284" s="18">
        <f t="shared" si="10"/>
        <v>12.5</v>
      </c>
      <c r="F284" s="52"/>
      <c r="G284" s="9"/>
    </row>
    <row r="285" spans="1:7" ht="13.9" customHeight="1" thickBot="1" x14ac:dyDescent="0.25">
      <c r="A285" s="298" t="s">
        <v>436</v>
      </c>
      <c r="B285" s="51" t="s">
        <v>344</v>
      </c>
      <c r="C285" s="17">
        <v>100</v>
      </c>
      <c r="D285" s="84">
        <v>2.4</v>
      </c>
      <c r="E285" s="18">
        <f t="shared" si="9"/>
        <v>240</v>
      </c>
      <c r="F285" s="52"/>
      <c r="G285" s="9"/>
    </row>
    <row r="286" spans="1:7" ht="13.9" customHeight="1" thickBot="1" x14ac:dyDescent="0.25">
      <c r="A286" s="12"/>
      <c r="B286" s="12"/>
      <c r="C286" s="12"/>
      <c r="D286" s="115" t="s">
        <v>184</v>
      </c>
      <c r="E286" s="286">
        <v>1</v>
      </c>
      <c r="F286" s="21">
        <f>SUM(E280:E285)</f>
        <v>382.5</v>
      </c>
      <c r="G286" s="9"/>
    </row>
    <row r="287" spans="1:7" ht="11.25" customHeight="1" x14ac:dyDescent="0.2">
      <c r="G287" s="9"/>
    </row>
    <row r="288" spans="1:7" x14ac:dyDescent="0.2">
      <c r="A288" s="11" t="s">
        <v>383</v>
      </c>
      <c r="B288" s="11"/>
      <c r="C288" s="11"/>
      <c r="D288" s="34"/>
      <c r="E288" s="34"/>
      <c r="F288" s="33"/>
    </row>
    <row r="289" spans="1:7" ht="11.25" customHeight="1" thickBot="1" x14ac:dyDescent="0.25"/>
    <row r="290" spans="1:7" ht="13.5" thickBot="1" x14ac:dyDescent="0.25">
      <c r="A290" s="57" t="s">
        <v>64</v>
      </c>
      <c r="B290" s="58" t="s">
        <v>65</v>
      </c>
      <c r="C290" s="58" t="s">
        <v>42</v>
      </c>
      <c r="D290" s="59" t="s">
        <v>223</v>
      </c>
      <c r="E290" s="59" t="s">
        <v>66</v>
      </c>
      <c r="F290" s="60" t="s">
        <v>67</v>
      </c>
    </row>
    <row r="291" spans="1:7" x14ac:dyDescent="0.2">
      <c r="A291" s="298" t="s">
        <v>214</v>
      </c>
      <c r="B291" s="51" t="s">
        <v>59</v>
      </c>
      <c r="C291" s="66">
        <v>1</v>
      </c>
      <c r="D291" s="84">
        <v>600</v>
      </c>
      <c r="E291" s="18">
        <f>+D291*C291</f>
        <v>600</v>
      </c>
      <c r="F291" s="52"/>
    </row>
    <row r="292" spans="1:7" x14ac:dyDescent="0.2">
      <c r="A292" s="16" t="s">
        <v>61</v>
      </c>
      <c r="B292" s="51" t="s">
        <v>8</v>
      </c>
      <c r="C292" s="17">
        <v>60</v>
      </c>
      <c r="D292" s="77">
        <f>SUM(E291:E291)</f>
        <v>600</v>
      </c>
      <c r="E292" s="77">
        <f>+D292/C292</f>
        <v>10</v>
      </c>
      <c r="F292" s="52"/>
    </row>
    <row r="293" spans="1:7" x14ac:dyDescent="0.2">
      <c r="A293" s="16" t="s">
        <v>215</v>
      </c>
      <c r="B293" s="17" t="s">
        <v>10</v>
      </c>
      <c r="C293" s="66">
        <f>+C291</f>
        <v>1</v>
      </c>
      <c r="D293" s="84">
        <v>110</v>
      </c>
      <c r="E293" s="18">
        <f>C293*D293</f>
        <v>110</v>
      </c>
      <c r="F293" s="52"/>
    </row>
    <row r="294" spans="1:7" ht="13.5" thickBot="1" x14ac:dyDescent="0.25">
      <c r="A294" s="16" t="s">
        <v>39</v>
      </c>
      <c r="B294" s="51" t="s">
        <v>8</v>
      </c>
      <c r="C294" s="17">
        <v>1</v>
      </c>
      <c r="D294" s="77">
        <f>+E293</f>
        <v>110</v>
      </c>
      <c r="E294" s="77">
        <f>+D294/C294</f>
        <v>110</v>
      </c>
      <c r="F294" s="52"/>
    </row>
    <row r="295" spans="1:7" ht="13.5" thickBot="1" x14ac:dyDescent="0.25">
      <c r="A295" s="12"/>
      <c r="B295" s="12"/>
      <c r="C295" s="12"/>
      <c r="D295" s="115" t="s">
        <v>184</v>
      </c>
      <c r="E295" s="286">
        <f>E228</f>
        <v>0.46568181818181825</v>
      </c>
      <c r="F295" s="21">
        <f>(E292+E294)*E295</f>
        <v>55.88181818181819</v>
      </c>
    </row>
    <row r="296" spans="1:7" s="50" customFormat="1" ht="11.25" customHeight="1" thickBot="1" x14ac:dyDescent="0.25">
      <c r="A296" s="9"/>
      <c r="B296" s="9"/>
      <c r="C296" s="9"/>
      <c r="D296" s="10"/>
      <c r="E296" s="10"/>
      <c r="F296" s="10"/>
      <c r="G296" s="79"/>
    </row>
    <row r="297" spans="1:7" ht="13.5" thickBot="1" x14ac:dyDescent="0.25">
      <c r="A297" s="24" t="s">
        <v>213</v>
      </c>
      <c r="B297" s="25"/>
      <c r="C297" s="25"/>
      <c r="D297" s="26"/>
      <c r="E297" s="27"/>
      <c r="F297" s="21">
        <f>+F295</f>
        <v>55.88181818181819</v>
      </c>
    </row>
    <row r="298" spans="1:7" ht="11.25" customHeight="1" thickBot="1" x14ac:dyDescent="0.25"/>
    <row r="299" spans="1:7" ht="17.25" customHeight="1" thickBot="1" x14ac:dyDescent="0.25">
      <c r="A299" s="24" t="s">
        <v>218</v>
      </c>
      <c r="B299" s="28"/>
      <c r="C299" s="28"/>
      <c r="D299" s="29"/>
      <c r="E299" s="30"/>
      <c r="F299" s="22">
        <f>+F153+F184+F265+F275+F297+F286</f>
        <v>16960.583185170926</v>
      </c>
    </row>
    <row r="300" spans="1:7" ht="11.25" customHeight="1" x14ac:dyDescent="0.2"/>
    <row r="301" spans="1:7" x14ac:dyDescent="0.2">
      <c r="A301" s="11" t="s">
        <v>384</v>
      </c>
    </row>
    <row r="302" spans="1:7" ht="11.25" customHeight="1" thickBot="1" x14ac:dyDescent="0.25"/>
    <row r="303" spans="1:7" ht="13.5" thickBot="1" x14ac:dyDescent="0.25">
      <c r="A303" s="57" t="s">
        <v>64</v>
      </c>
      <c r="B303" s="58" t="s">
        <v>65</v>
      </c>
      <c r="C303" s="58" t="s">
        <v>42</v>
      </c>
      <c r="D303" s="59" t="s">
        <v>223</v>
      </c>
      <c r="E303" s="59" t="s">
        <v>66</v>
      </c>
      <c r="F303" s="60" t="s">
        <v>67</v>
      </c>
    </row>
    <row r="304" spans="1:7" ht="13.5" thickBot="1" x14ac:dyDescent="0.25">
      <c r="A304" s="13" t="s">
        <v>38</v>
      </c>
      <c r="B304" s="14" t="s">
        <v>2</v>
      </c>
      <c r="C304" s="131">
        <f>'8.BDI'!C21*100</f>
        <v>27.21</v>
      </c>
      <c r="D304" s="15">
        <f>+F299</f>
        <v>16960.583185170926</v>
      </c>
      <c r="E304" s="15">
        <f>C304*D304/100</f>
        <v>4614.9746846850094</v>
      </c>
    </row>
    <row r="305" spans="1:7" ht="13.5" thickBot="1" x14ac:dyDescent="0.25">
      <c r="F305" s="21">
        <f>+E304</f>
        <v>4614.9746846850094</v>
      </c>
    </row>
    <row r="306" spans="1:7" ht="11.25" customHeight="1" thickBot="1" x14ac:dyDescent="0.25"/>
    <row r="307" spans="1:7" ht="13.5" thickBot="1" x14ac:dyDescent="0.25">
      <c r="A307" s="24" t="s">
        <v>228</v>
      </c>
      <c r="B307" s="28"/>
      <c r="C307" s="28"/>
      <c r="D307" s="29"/>
      <c r="E307" s="30"/>
      <c r="F307" s="22">
        <f>F305</f>
        <v>4614.9746846850094</v>
      </c>
    </row>
    <row r="308" spans="1:7" x14ac:dyDescent="0.2">
      <c r="A308" s="11"/>
      <c r="B308" s="11"/>
      <c r="C308" s="11"/>
      <c r="D308" s="34"/>
      <c r="E308" s="34"/>
      <c r="F308" s="33"/>
    </row>
    <row r="309" spans="1:7" ht="11.25" customHeight="1" thickBot="1" x14ac:dyDescent="0.25"/>
    <row r="310" spans="1:7" ht="24.75" customHeight="1" thickBot="1" x14ac:dyDescent="0.25">
      <c r="A310" s="24" t="s">
        <v>219</v>
      </c>
      <c r="B310" s="28"/>
      <c r="C310" s="28"/>
      <c r="D310" s="29"/>
      <c r="E310" s="30"/>
      <c r="F310" s="22">
        <f>F299+F307</f>
        <v>21575.557869855937</v>
      </c>
    </row>
    <row r="311" spans="1:7" ht="12.6" customHeight="1" x14ac:dyDescent="0.2">
      <c r="A311" s="53"/>
      <c r="B311" s="53"/>
      <c r="C311" s="53"/>
      <c r="D311" s="54"/>
      <c r="E311" s="54"/>
      <c r="F311" s="54"/>
    </row>
    <row r="312" spans="1:7" ht="14.25" hidden="1" x14ac:dyDescent="0.2">
      <c r="A312" s="8"/>
      <c r="B312" s="8"/>
      <c r="C312" s="8"/>
      <c r="D312" s="35"/>
      <c r="E312" s="35"/>
    </row>
    <row r="313" spans="1:7" ht="16.149999999999999" hidden="1" customHeight="1" x14ac:dyDescent="0.2">
      <c r="A313" s="230" t="s">
        <v>212</v>
      </c>
      <c r="B313" s="231"/>
      <c r="C313" s="231"/>
      <c r="D313" s="232"/>
      <c r="E313" s="233" t="s">
        <v>27</v>
      </c>
      <c r="G313" s="10" t="s">
        <v>193</v>
      </c>
    </row>
    <row r="314" spans="1:7" hidden="1" x14ac:dyDescent="0.2"/>
    <row r="315" spans="1:7" ht="25.5" hidden="1" customHeight="1" thickBot="1" x14ac:dyDescent="0.25">
      <c r="A315" s="24" t="s">
        <v>70</v>
      </c>
      <c r="B315" s="25"/>
      <c r="C315" s="25"/>
      <c r="D315" s="26"/>
      <c r="E315" s="234" t="s">
        <v>34</v>
      </c>
      <c r="F315" s="235" t="str">
        <f>IFERROR(F310/D313,"-")</f>
        <v>-</v>
      </c>
      <c r="G315" s="10" t="s">
        <v>193</v>
      </c>
    </row>
    <row r="316" spans="1:7" ht="12.6" hidden="1" customHeight="1" x14ac:dyDescent="0.2">
      <c r="A316" s="11"/>
      <c r="B316" s="11"/>
      <c r="C316" s="11"/>
      <c r="D316" s="34"/>
      <c r="E316" s="34"/>
      <c r="F316" s="34"/>
    </row>
    <row r="317" spans="1:7" s="4" customFormat="1" ht="9.75" hidden="1" customHeight="1" x14ac:dyDescent="0.2">
      <c r="A317" s="38"/>
      <c r="B317" s="10"/>
      <c r="C317" s="10"/>
      <c r="D317" s="10"/>
      <c r="E317" s="10"/>
      <c r="F317" s="10"/>
      <c r="G317" s="6"/>
    </row>
    <row r="318" spans="1:7" s="4" customFormat="1" ht="9.75" hidden="1" customHeight="1" x14ac:dyDescent="0.2">
      <c r="A318" s="38"/>
      <c r="B318" s="10"/>
      <c r="C318" s="10"/>
      <c r="D318" s="10"/>
      <c r="E318" s="10"/>
      <c r="F318" s="10"/>
      <c r="G318" s="6"/>
    </row>
    <row r="319" spans="1:7" s="4" customFormat="1" ht="9.75" hidden="1" customHeight="1" x14ac:dyDescent="0.2">
      <c r="A319" s="38"/>
      <c r="B319" s="10"/>
      <c r="C319" s="10"/>
      <c r="D319" s="10"/>
      <c r="E319" s="10"/>
      <c r="F319" s="10"/>
      <c r="G319" s="6"/>
    </row>
    <row r="320" spans="1:7" x14ac:dyDescent="0.2">
      <c r="F320" s="43"/>
    </row>
    <row r="321" spans="6:6" x14ac:dyDescent="0.2">
      <c r="F321" s="332"/>
    </row>
    <row r="349" spans="4:7" ht="9" customHeight="1" x14ac:dyDescent="0.2">
      <c r="D349" s="9"/>
      <c r="E349" s="9"/>
      <c r="F349" s="9"/>
      <c r="G349" s="9"/>
    </row>
  </sheetData>
  <mergeCells count="7">
    <mergeCell ref="A50:D50"/>
    <mergeCell ref="A26:C26"/>
    <mergeCell ref="A12:F12"/>
    <mergeCell ref="A13:F13"/>
    <mergeCell ref="A43:D43"/>
    <mergeCell ref="A15:F15"/>
    <mergeCell ref="A42:E42"/>
  </mergeCells>
  <phoneticPr fontId="33" type="noConversion"/>
  <hyperlinks>
    <hyperlink ref="A205" location="AbaRemun" display="3.1.2. Remuneração do Capital"/>
    <hyperlink ref="A188" location="AbaDeprec" display="3.1.1. Depreciação"/>
  </hyperlinks>
  <pageMargins left="0.9055118110236221" right="0.51181102362204722" top="0.74803149606299213" bottom="0.74803149606299213" header="0.31496062992125984" footer="0.31496062992125984"/>
  <pageSetup paperSize="9" scale="75" fitToHeight="4" orientation="portrait" r:id="rId1"/>
  <headerFooter alignWithMargins="0">
    <oddFooter>&amp;R&amp;P de &amp;N</oddFooter>
  </headerFooter>
  <rowBreaks count="2" manualBreakCount="2">
    <brk id="126" max="5" man="1"/>
    <brk id="20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1"/>
  <sheetViews>
    <sheetView topLeftCell="A39" zoomScaleSheetLayoutView="100" workbookViewId="0">
      <selection activeCell="A15" sqref="A15:F15"/>
    </sheetView>
  </sheetViews>
  <sheetFormatPr defaultColWidth="9.140625" defaultRowHeight="12.75" x14ac:dyDescent="0.2"/>
  <cols>
    <col min="1" max="1" width="44.5703125" style="9" customWidth="1"/>
    <col min="2" max="2" width="16" style="9" bestFit="1" customWidth="1"/>
    <col min="3" max="3" width="11.85546875" style="9" customWidth="1"/>
    <col min="4" max="4" width="14.7109375" style="10" customWidth="1"/>
    <col min="5" max="5" width="15.42578125" style="10" customWidth="1"/>
    <col min="6" max="6" width="13.28515625" style="10" customWidth="1"/>
    <col min="7" max="7" width="28.140625" style="10" customWidth="1"/>
    <col min="8" max="8" width="9.140625" style="9"/>
    <col min="9" max="9" width="14.5703125" style="9" customWidth="1"/>
    <col min="10" max="10" width="13.42578125" style="9" customWidth="1"/>
    <col min="11" max="16384" width="9.140625" style="9"/>
  </cols>
  <sheetData>
    <row r="1" spans="1:7" ht="15.75" hidden="1" x14ac:dyDescent="0.2">
      <c r="A1" s="53" t="s">
        <v>191</v>
      </c>
    </row>
    <row r="2" spans="1:7" ht="15.75" hidden="1" x14ac:dyDescent="0.2">
      <c r="A2" s="303" t="s">
        <v>276</v>
      </c>
    </row>
    <row r="3" spans="1:7" ht="15.75" hidden="1" x14ac:dyDescent="0.2">
      <c r="A3" s="303" t="s">
        <v>277</v>
      </c>
    </row>
    <row r="4" spans="1:7" ht="15.75" hidden="1" x14ac:dyDescent="0.2">
      <c r="A4" s="303" t="s">
        <v>279</v>
      </c>
    </row>
    <row r="5" spans="1:7" s="4" customFormat="1" ht="15.6" hidden="1" customHeight="1" x14ac:dyDescent="0.2">
      <c r="A5" s="53" t="s">
        <v>273</v>
      </c>
      <c r="C5" s="5"/>
      <c r="D5" s="5"/>
      <c r="E5" s="5"/>
      <c r="F5" s="5"/>
      <c r="G5" s="6"/>
    </row>
    <row r="6" spans="1:7" s="4" customFormat="1" ht="15.6" hidden="1" customHeight="1" x14ac:dyDescent="0.2">
      <c r="A6" s="274" t="s">
        <v>278</v>
      </c>
      <c r="B6" s="5"/>
      <c r="C6" s="5"/>
      <c r="D6" s="5"/>
      <c r="E6" s="5"/>
      <c r="F6" s="5"/>
      <c r="G6" s="6"/>
    </row>
    <row r="7" spans="1:7" s="4" customFormat="1" ht="15.6" hidden="1" customHeight="1" x14ac:dyDescent="0.2">
      <c r="A7" s="7"/>
      <c r="B7" s="5"/>
      <c r="C7" s="5"/>
      <c r="D7" s="5"/>
      <c r="E7" s="5"/>
      <c r="F7" s="5"/>
      <c r="G7" s="6"/>
    </row>
    <row r="8" spans="1:7" s="4" customFormat="1" ht="15.6" hidden="1" customHeight="1" x14ac:dyDescent="0.2">
      <c r="A8" s="275" t="s">
        <v>284</v>
      </c>
      <c r="B8" s="5"/>
      <c r="C8" s="5"/>
      <c r="D8" s="5"/>
      <c r="E8" s="5"/>
      <c r="F8" s="5"/>
      <c r="G8" s="6"/>
    </row>
    <row r="9" spans="1:7" s="4" customFormat="1" ht="15.6" hidden="1" customHeight="1" x14ac:dyDescent="0.2">
      <c r="A9" s="303" t="s">
        <v>281</v>
      </c>
      <c r="B9" s="5"/>
      <c r="C9" s="5"/>
      <c r="D9" s="5"/>
      <c r="E9" s="5"/>
      <c r="F9" s="5"/>
      <c r="G9" s="6"/>
    </row>
    <row r="10" spans="1:7" s="4" customFormat="1" ht="16.5" hidden="1" customHeight="1" x14ac:dyDescent="0.2">
      <c r="A10" s="7"/>
      <c r="B10" s="5"/>
      <c r="C10" s="5"/>
      <c r="D10" s="6"/>
      <c r="E10" s="6"/>
      <c r="F10" s="6"/>
      <c r="G10" s="6"/>
    </row>
    <row r="11" spans="1:7" s="4" customFormat="1" ht="16.5" customHeight="1" thickBot="1" x14ac:dyDescent="0.25">
      <c r="A11" s="138" t="s">
        <v>472</v>
      </c>
      <c r="B11" s="5"/>
      <c r="C11" s="5"/>
      <c r="D11" s="6"/>
      <c r="E11" s="6"/>
      <c r="F11" s="6"/>
      <c r="G11" s="6"/>
    </row>
    <row r="12" spans="1:7" s="8" customFormat="1" ht="18" x14ac:dyDescent="0.2">
      <c r="A12" s="590" t="s">
        <v>423</v>
      </c>
      <c r="B12" s="591"/>
      <c r="C12" s="591"/>
      <c r="D12" s="591"/>
      <c r="E12" s="591"/>
      <c r="F12" s="592"/>
      <c r="G12" s="35"/>
    </row>
    <row r="13" spans="1:7" s="8" customFormat="1" ht="21.75" customHeight="1" x14ac:dyDescent="0.2">
      <c r="A13" s="593" t="s">
        <v>45</v>
      </c>
      <c r="B13" s="594"/>
      <c r="C13" s="594"/>
      <c r="D13" s="594"/>
      <c r="E13" s="594"/>
      <c r="F13" s="595"/>
      <c r="G13" s="35"/>
    </row>
    <row r="14" spans="1:7" s="4" customFormat="1" ht="10.9" customHeight="1" thickBot="1" x14ac:dyDescent="0.25">
      <c r="A14" s="139"/>
      <c r="B14" s="5"/>
      <c r="C14" s="5"/>
      <c r="D14" s="140"/>
      <c r="E14" s="140"/>
      <c r="F14" s="141"/>
      <c r="G14" s="6"/>
    </row>
    <row r="15" spans="1:7" s="4" customFormat="1" ht="15.75" customHeight="1" thickBot="1" x14ac:dyDescent="0.25">
      <c r="A15" s="599" t="s">
        <v>190</v>
      </c>
      <c r="B15" s="600"/>
      <c r="C15" s="600"/>
      <c r="D15" s="600"/>
      <c r="E15" s="600"/>
      <c r="F15" s="601"/>
      <c r="G15" s="6"/>
    </row>
    <row r="16" spans="1:7" s="4" customFormat="1" ht="15.75" customHeight="1" x14ac:dyDescent="0.2">
      <c r="A16" s="61" t="s">
        <v>189</v>
      </c>
      <c r="B16" s="39"/>
      <c r="C16" s="39"/>
      <c r="D16" s="239"/>
      <c r="E16" s="108" t="s">
        <v>40</v>
      </c>
      <c r="F16" s="40" t="s">
        <v>2</v>
      </c>
      <c r="G16" s="6"/>
    </row>
    <row r="17" spans="1:7" s="11" customFormat="1" ht="15.75" customHeight="1" x14ac:dyDescent="0.2">
      <c r="A17" s="117" t="str">
        <f>A56</f>
        <v>1. Mão-de-obra</v>
      </c>
      <c r="B17" s="118"/>
      <c r="C17" s="119"/>
      <c r="D17" s="119"/>
      <c r="E17" s="236">
        <f>+F150</f>
        <v>9231.3077247009405</v>
      </c>
      <c r="F17" s="120">
        <f>IFERROR(E17/$E$39,0)</f>
        <v>0.42479405137790199</v>
      </c>
      <c r="G17" s="43"/>
    </row>
    <row r="18" spans="1:7" s="4" customFormat="1" ht="15.75" customHeight="1" x14ac:dyDescent="0.2">
      <c r="A18" s="48" t="str">
        <f>A57</f>
        <v>1.1. Coletor Turno Dia - CBO 5142</v>
      </c>
      <c r="B18" s="44"/>
      <c r="C18" s="46"/>
      <c r="D18" s="46"/>
      <c r="E18" s="237">
        <f>F68</f>
        <v>5876.1751917042084</v>
      </c>
      <c r="F18" s="55">
        <f>IFERROR(E18/$E$39,0)</f>
        <v>0.27040202111464295</v>
      </c>
      <c r="G18" s="6"/>
    </row>
    <row r="19" spans="1:7" s="4" customFormat="1" ht="15.75" hidden="1" customHeight="1" x14ac:dyDescent="0.2">
      <c r="A19" s="48" t="str">
        <f>A70</f>
        <v>1.2. Coletor Turno Noite</v>
      </c>
      <c r="B19" s="44"/>
      <c r="C19" s="46"/>
      <c r="D19" s="46"/>
      <c r="E19" s="237">
        <f>F87</f>
        <v>0</v>
      </c>
      <c r="F19" s="55">
        <f t="shared" ref="F19:F38" si="0">IFERROR(E19/$E$39,0)</f>
        <v>0</v>
      </c>
      <c r="G19" s="6"/>
    </row>
    <row r="20" spans="1:7" s="4" customFormat="1" ht="15.75" customHeight="1" x14ac:dyDescent="0.2">
      <c r="A20" s="48" t="str">
        <f>A88</f>
        <v>1.2. Motorista Turno do Dia</v>
      </c>
      <c r="B20" s="44"/>
      <c r="C20" s="46"/>
      <c r="D20" s="46"/>
      <c r="E20" s="237">
        <f>F101</f>
        <v>2097.8497798149147</v>
      </c>
      <c r="F20" s="55">
        <f t="shared" si="0"/>
        <v>9.6536063332098188E-2</v>
      </c>
      <c r="G20" s="6"/>
    </row>
    <row r="21" spans="1:7" s="4" customFormat="1" ht="15.75" customHeight="1" x14ac:dyDescent="0.2">
      <c r="A21" s="48" t="str">
        <f>A103</f>
        <v>1.3. Encarregado/Supervisor</v>
      </c>
      <c r="B21" s="44"/>
      <c r="C21" s="46"/>
      <c r="D21" s="46"/>
      <c r="E21" s="237">
        <f>F122</f>
        <v>481.12312499999996</v>
      </c>
      <c r="F21" s="55">
        <f t="shared" si="0"/>
        <v>2.2139684601075068E-2</v>
      </c>
      <c r="G21" s="6"/>
    </row>
    <row r="22" spans="1:7" s="4" customFormat="1" ht="15.75" customHeight="1" x14ac:dyDescent="0.2">
      <c r="A22" s="48" t="str">
        <f>A124</f>
        <v>1.4. Vale Transporte</v>
      </c>
      <c r="B22" s="44"/>
      <c r="C22" s="46"/>
      <c r="D22" s="46"/>
      <c r="E22" s="237">
        <f>F130</f>
        <v>139.43520000000001</v>
      </c>
      <c r="F22" s="55">
        <f t="shared" si="0"/>
        <v>6.4163437379731493E-3</v>
      </c>
      <c r="G22" s="6"/>
    </row>
    <row r="23" spans="1:7" s="4" customFormat="1" ht="15.75" customHeight="1" x14ac:dyDescent="0.2">
      <c r="A23" s="48" t="str">
        <f>A132</f>
        <v>1.5. Vale-refeição (diário)</v>
      </c>
      <c r="B23" s="44"/>
      <c r="C23" s="46"/>
      <c r="D23" s="46"/>
      <c r="E23" s="237">
        <f>F136</f>
        <v>562.73919999999998</v>
      </c>
      <c r="F23" s="55">
        <f t="shared" si="0"/>
        <v>2.5895384680712039E-2</v>
      </c>
      <c r="G23" s="6"/>
    </row>
    <row r="24" spans="1:7" s="4" customFormat="1" ht="15.75" customHeight="1" x14ac:dyDescent="0.2">
      <c r="A24" s="48" t="str">
        <f>A138</f>
        <v>1.6. Auxílio Alimentação (mensal)</v>
      </c>
      <c r="B24" s="44"/>
      <c r="C24" s="46"/>
      <c r="D24" s="46"/>
      <c r="E24" s="237">
        <f>F142</f>
        <v>47.490169090909085</v>
      </c>
      <c r="F24" s="55">
        <f t="shared" si="0"/>
        <v>2.1853394914751836E-3</v>
      </c>
      <c r="G24" s="6"/>
    </row>
    <row r="25" spans="1:7" s="4" customFormat="1" ht="15.75" customHeight="1" x14ac:dyDescent="0.2">
      <c r="A25" s="48" t="str">
        <f>A144</f>
        <v xml:space="preserve">1.7. Plano de Benefício Social  </v>
      </c>
      <c r="B25" s="44"/>
      <c r="C25" s="46"/>
      <c r="D25" s="46"/>
      <c r="E25" s="237">
        <f>F148</f>
        <v>26.495059090909091</v>
      </c>
      <c r="F25" s="55">
        <f t="shared" si="0"/>
        <v>1.2192144199254069E-3</v>
      </c>
      <c r="G25" s="6"/>
    </row>
    <row r="26" spans="1:7" s="11" customFormat="1" ht="15.75" customHeight="1" x14ac:dyDescent="0.2">
      <c r="A26" s="588" t="str">
        <f>A152</f>
        <v>2. Uniformes e Equipamentos de Proteção Individual</v>
      </c>
      <c r="B26" s="589"/>
      <c r="C26" s="589"/>
      <c r="D26" s="119"/>
      <c r="E26" s="236">
        <f>+F184</f>
        <v>184.79812499999997</v>
      </c>
      <c r="F26" s="120">
        <f t="shared" si="0"/>
        <v>8.5037945377704413E-3</v>
      </c>
      <c r="G26" s="43"/>
    </row>
    <row r="27" spans="1:7" s="11" customFormat="1" ht="15.75" customHeight="1" x14ac:dyDescent="0.2">
      <c r="A27" s="128" t="str">
        <f>A186</f>
        <v>3. Veículos e Equipamentos</v>
      </c>
      <c r="B27" s="129"/>
      <c r="C27" s="119"/>
      <c r="D27" s="119"/>
      <c r="E27" s="236">
        <f>+F267</f>
        <v>7351.8739104419801</v>
      </c>
      <c r="F27" s="120">
        <f t="shared" si="0"/>
        <v>0.33830876369548413</v>
      </c>
      <c r="G27" s="43"/>
    </row>
    <row r="28" spans="1:7" s="4" customFormat="1" ht="15.75" customHeight="1" x14ac:dyDescent="0.2">
      <c r="A28" s="62" t="str">
        <f>A188</f>
        <v>3.1. Veículo Coletor com compactador</v>
      </c>
      <c r="B28" s="45"/>
      <c r="C28" s="46"/>
      <c r="D28" s="46"/>
      <c r="E28" s="237">
        <f>SUM(E29:E34)</f>
        <v>7351.8739104419801</v>
      </c>
      <c r="F28" s="134">
        <f t="shared" si="0"/>
        <v>0.33830876369548413</v>
      </c>
      <c r="G28" s="6"/>
    </row>
    <row r="29" spans="1:7" s="4" customFormat="1" ht="15.75" customHeight="1" x14ac:dyDescent="0.2">
      <c r="A29" s="62" t="str">
        <f>A190</f>
        <v>3.1.1. Depreciação</v>
      </c>
      <c r="B29" s="45"/>
      <c r="C29" s="46"/>
      <c r="D29" s="46"/>
      <c r="E29" s="237">
        <f>F205</f>
        <v>1080.7251375000001</v>
      </c>
      <c r="F29" s="134">
        <f t="shared" si="0"/>
        <v>4.9731373200370466E-2</v>
      </c>
      <c r="G29" s="6"/>
    </row>
    <row r="30" spans="1:7" s="4" customFormat="1" ht="15.75" customHeight="1" x14ac:dyDescent="0.2">
      <c r="A30" s="62" t="str">
        <f>A207</f>
        <v>3.1.2. Remuneração do Capital</v>
      </c>
      <c r="B30" s="45"/>
      <c r="C30" s="46"/>
      <c r="D30" s="46"/>
      <c r="E30" s="237">
        <f>F222</f>
        <v>1171.7361881249999</v>
      </c>
      <c r="F30" s="134">
        <f t="shared" si="0"/>
        <v>5.3919398783322796E-2</v>
      </c>
      <c r="G30" s="6"/>
    </row>
    <row r="31" spans="1:7" s="4" customFormat="1" ht="15.75" customHeight="1" x14ac:dyDescent="0.2">
      <c r="A31" s="62" t="str">
        <f>A224</f>
        <v>3.1.3. Impostos e Seguros</v>
      </c>
      <c r="B31" s="45"/>
      <c r="C31" s="46"/>
      <c r="D31" s="46"/>
      <c r="E31" s="237">
        <f>F230</f>
        <v>227.9204488636363</v>
      </c>
      <c r="F31" s="134">
        <f t="shared" si="0"/>
        <v>1.0488140332012449E-2</v>
      </c>
      <c r="G31" s="6"/>
    </row>
    <row r="32" spans="1:7" s="4" customFormat="1" ht="15.75" customHeight="1" x14ac:dyDescent="0.2">
      <c r="A32" s="62" t="str">
        <f>A232</f>
        <v>3.1.4. Consumos</v>
      </c>
      <c r="B32" s="45"/>
      <c r="C32" s="46"/>
      <c r="D32" s="46"/>
      <c r="E32" s="237">
        <f>F250</f>
        <v>3615.5140811962006</v>
      </c>
      <c r="F32" s="134">
        <f t="shared" si="0"/>
        <v>0.16637392232690873</v>
      </c>
      <c r="G32" s="6"/>
    </row>
    <row r="33" spans="1:7" s="4" customFormat="1" ht="15.75" customHeight="1" x14ac:dyDescent="0.2">
      <c r="A33" s="62" t="str">
        <f>A252</f>
        <v>3.1.5. Manutenção</v>
      </c>
      <c r="B33" s="45"/>
      <c r="C33" s="46"/>
      <c r="D33" s="46"/>
      <c r="E33" s="237">
        <f>F255</f>
        <v>919.87125137142846</v>
      </c>
      <c r="F33" s="134">
        <f t="shared" si="0"/>
        <v>4.2329412827453824E-2</v>
      </c>
      <c r="G33" s="6"/>
    </row>
    <row r="34" spans="1:7" s="4" customFormat="1" ht="15.75" customHeight="1" x14ac:dyDescent="0.2">
      <c r="A34" s="62" t="str">
        <f>A257</f>
        <v>3.1.6. Pneus</v>
      </c>
      <c r="B34" s="45"/>
      <c r="C34" s="46"/>
      <c r="D34" s="46"/>
      <c r="E34" s="237">
        <f>F264</f>
        <v>336.10680338571422</v>
      </c>
      <c r="F34" s="134">
        <f t="shared" si="0"/>
        <v>1.5466516225415819E-2</v>
      </c>
      <c r="G34" s="6"/>
    </row>
    <row r="35" spans="1:7" s="11" customFormat="1" ht="15.75" customHeight="1" x14ac:dyDescent="0.2">
      <c r="A35" s="128" t="str">
        <f>A269</f>
        <v xml:space="preserve">4. Ferramentas, Materiais de Consumo </v>
      </c>
      <c r="B35" s="129"/>
      <c r="C35" s="119"/>
      <c r="D35" s="119"/>
      <c r="E35" s="236">
        <f>+F277</f>
        <v>17.833333333333332</v>
      </c>
      <c r="F35" s="120">
        <f t="shared" si="0"/>
        <v>8.2063063459242107E-4</v>
      </c>
      <c r="G35" s="43"/>
    </row>
    <row r="36" spans="1:7" s="11" customFormat="1" ht="15.75" customHeight="1" x14ac:dyDescent="0.2">
      <c r="A36" s="128" t="str">
        <f>A279</f>
        <v xml:space="preserve">5. Administração Local </v>
      </c>
      <c r="B36" s="129"/>
      <c r="C36" s="119"/>
      <c r="D36" s="119"/>
      <c r="E36" s="236">
        <f>F288</f>
        <v>238.5</v>
      </c>
      <c r="F36" s="120">
        <f t="shared" si="0"/>
        <v>1.0974976057025744E-2</v>
      </c>
      <c r="G36" s="43"/>
    </row>
    <row r="37" spans="1:7" s="11" customFormat="1" ht="15.75" customHeight="1" x14ac:dyDescent="0.2">
      <c r="A37" s="128" t="str">
        <f>A290</f>
        <v>6. Monitoramento da Frota</v>
      </c>
      <c r="B37" s="129"/>
      <c r="C37" s="119"/>
      <c r="D37" s="119"/>
      <c r="E37" s="236">
        <f>+F299</f>
        <v>58.663636363636357</v>
      </c>
      <c r="F37" s="120">
        <f t="shared" si="0"/>
        <v>2.6995052599956973E-3</v>
      </c>
      <c r="G37" s="43"/>
    </row>
    <row r="38" spans="1:7" s="11" customFormat="1" ht="15.75" customHeight="1" thickBot="1" x14ac:dyDescent="0.25">
      <c r="A38" s="128" t="str">
        <f>A303</f>
        <v>7. Benefícios e Despesas Indiretas - BDI</v>
      </c>
      <c r="B38" s="129"/>
      <c r="C38" s="119"/>
      <c r="D38" s="119"/>
      <c r="E38" s="238">
        <f>+F309</f>
        <v>4648.2779681894335</v>
      </c>
      <c r="F38" s="120">
        <f t="shared" si="0"/>
        <v>0.21389827843722981</v>
      </c>
      <c r="G38" s="43"/>
    </row>
    <row r="39" spans="1:7" s="4" customFormat="1" ht="15.75" customHeight="1" thickBot="1" x14ac:dyDescent="0.25">
      <c r="A39" s="41" t="s">
        <v>227</v>
      </c>
      <c r="B39" s="42"/>
      <c r="C39" s="26"/>
      <c r="D39" s="26"/>
      <c r="E39" s="107">
        <f>E17+E26+E27+E35+E37+E38+E36</f>
        <v>21731.254698029319</v>
      </c>
      <c r="F39" s="133">
        <f>F17+F26+F27+F35+F37+F38+F36</f>
        <v>1.0000000000000002</v>
      </c>
      <c r="G39" s="6"/>
    </row>
    <row r="41" spans="1:7" ht="13.5" thickBot="1" x14ac:dyDescent="0.25"/>
    <row r="42" spans="1:7" s="4" customFormat="1" ht="15" customHeight="1" thickBot="1" x14ac:dyDescent="0.25">
      <c r="A42" s="599" t="s">
        <v>95</v>
      </c>
      <c r="B42" s="600"/>
      <c r="C42" s="600"/>
      <c r="D42" s="600"/>
      <c r="E42" s="601"/>
      <c r="F42" s="10"/>
      <c r="G42" s="6"/>
    </row>
    <row r="43" spans="1:7" s="4" customFormat="1" ht="15" customHeight="1" thickBot="1" x14ac:dyDescent="0.25">
      <c r="A43" s="596" t="s">
        <v>41</v>
      </c>
      <c r="B43" s="597"/>
      <c r="C43" s="597"/>
      <c r="D43" s="598"/>
      <c r="E43" s="47" t="s">
        <v>42</v>
      </c>
      <c r="F43" s="10"/>
      <c r="G43" s="6"/>
    </row>
    <row r="44" spans="1:7" s="4" customFormat="1" ht="15" customHeight="1" x14ac:dyDescent="0.2">
      <c r="A44" s="70" t="str">
        <f>+A57</f>
        <v>1.1. Coletor Turno Dia - CBO 5142</v>
      </c>
      <c r="B44" s="71"/>
      <c r="C44" s="71"/>
      <c r="D44" s="72"/>
      <c r="E44" s="73">
        <f>C67</f>
        <v>3</v>
      </c>
      <c r="F44" s="10"/>
      <c r="G44" s="6"/>
    </row>
    <row r="45" spans="1:7" s="4" customFormat="1" ht="15" hidden="1" customHeight="1" x14ac:dyDescent="0.2">
      <c r="A45" s="64" t="str">
        <f>+A70</f>
        <v>1.2. Coletor Turno Noite</v>
      </c>
      <c r="B45" s="63"/>
      <c r="C45" s="63"/>
      <c r="D45" s="74"/>
      <c r="E45" s="67">
        <f>C86</f>
        <v>0</v>
      </c>
      <c r="F45" s="10"/>
      <c r="G45" s="6"/>
    </row>
    <row r="46" spans="1:7" s="4" customFormat="1" ht="15" customHeight="1" x14ac:dyDescent="0.2">
      <c r="A46" s="64" t="str">
        <f>+A88</f>
        <v>1.2. Motorista Turno do Dia</v>
      </c>
      <c r="B46" s="63"/>
      <c r="C46" s="63"/>
      <c r="D46" s="74"/>
      <c r="E46" s="67">
        <f>C100</f>
        <v>1</v>
      </c>
      <c r="F46" s="10"/>
      <c r="G46" s="6"/>
    </row>
    <row r="47" spans="1:7" s="4" customFormat="1" ht="15" customHeight="1" x14ac:dyDescent="0.2">
      <c r="A47" s="64" t="str">
        <f>+A103</f>
        <v>1.3. Encarregado/Supervisor</v>
      </c>
      <c r="B47" s="63"/>
      <c r="C47" s="63"/>
      <c r="D47" s="74"/>
      <c r="E47" s="67">
        <f>C121</f>
        <v>1</v>
      </c>
      <c r="F47" s="10"/>
      <c r="G47" s="6"/>
    </row>
    <row r="48" spans="1:7" s="4" customFormat="1" ht="15" customHeight="1" thickBot="1" x14ac:dyDescent="0.25">
      <c r="A48" s="68" t="s">
        <v>60</v>
      </c>
      <c r="B48" s="69"/>
      <c r="C48" s="69"/>
      <c r="D48" s="75"/>
      <c r="E48" s="76">
        <f>SUM(E44:E47)</f>
        <v>5</v>
      </c>
      <c r="F48" s="10"/>
      <c r="G48" s="6"/>
    </row>
    <row r="49" spans="1:7" s="4" customFormat="1" ht="15" customHeight="1" thickBot="1" x14ac:dyDescent="0.25">
      <c r="A49" s="121"/>
      <c r="B49" s="122"/>
      <c r="C49" s="56"/>
      <c r="D49" s="56"/>
      <c r="E49" s="123"/>
      <c r="F49" s="10"/>
      <c r="G49" s="6"/>
    </row>
    <row r="50" spans="1:7" s="4" customFormat="1" ht="15" customHeight="1" x14ac:dyDescent="0.2">
      <c r="A50" s="586" t="s">
        <v>58</v>
      </c>
      <c r="B50" s="587"/>
      <c r="C50" s="587"/>
      <c r="D50" s="587"/>
      <c r="E50" s="47" t="s">
        <v>42</v>
      </c>
      <c r="F50" s="9"/>
      <c r="G50" s="6"/>
    </row>
    <row r="51" spans="1:7" s="4" customFormat="1" ht="15" customHeight="1" thickBot="1" x14ac:dyDescent="0.25">
      <c r="A51" s="124" t="str">
        <f>+A188</f>
        <v>3.1. Veículo Coletor com compactador</v>
      </c>
      <c r="B51" s="125"/>
      <c r="C51" s="125"/>
      <c r="D51" s="126"/>
      <c r="E51" s="127">
        <f>C204</f>
        <v>1</v>
      </c>
      <c r="F51" s="9"/>
      <c r="G51" s="6"/>
    </row>
    <row r="52" spans="1:7" s="4" customFormat="1" ht="15" customHeight="1" x14ac:dyDescent="0.2">
      <c r="A52" s="56"/>
      <c r="B52" s="56"/>
      <c r="C52" s="56"/>
      <c r="D52" s="9"/>
      <c r="E52" s="229"/>
      <c r="F52" s="9"/>
      <c r="G52" s="6"/>
    </row>
    <row r="53" spans="1:7" s="4" customFormat="1" ht="13.5" thickBot="1" x14ac:dyDescent="0.25">
      <c r="A53" s="56"/>
      <c r="B53" s="56"/>
      <c r="C53" s="56"/>
      <c r="D53" s="9"/>
      <c r="E53" s="65"/>
      <c r="F53" s="9"/>
      <c r="G53" s="6"/>
    </row>
    <row r="54" spans="1:7" s="11" customFormat="1" ht="15.75" customHeight="1" thickBot="1" x14ac:dyDescent="0.25">
      <c r="A54" s="240" t="s">
        <v>185</v>
      </c>
      <c r="B54" s="285">
        <f>'11. Horários'!G50</f>
        <v>0.45477272727272722</v>
      </c>
      <c r="C54" s="34"/>
      <c r="E54" s="142"/>
      <c r="G54" s="43"/>
    </row>
    <row r="55" spans="1:7" s="4" customFormat="1" ht="15.75" customHeight="1" x14ac:dyDescent="0.2">
      <c r="A55" s="56"/>
      <c r="B55" s="56"/>
      <c r="C55" s="56"/>
      <c r="D55" s="9"/>
      <c r="E55" s="65"/>
      <c r="F55" s="9"/>
      <c r="G55" s="6"/>
    </row>
    <row r="56" spans="1:7" ht="13.15" customHeight="1" x14ac:dyDescent="0.2">
      <c r="A56" s="11" t="s">
        <v>49</v>
      </c>
    </row>
    <row r="57" spans="1:7" ht="13.9" customHeight="1" thickBot="1" x14ac:dyDescent="0.25">
      <c r="A57" s="7" t="s">
        <v>542</v>
      </c>
    </row>
    <row r="58" spans="1:7" ht="13.9" customHeight="1" thickBot="1" x14ac:dyDescent="0.25">
      <c r="A58" s="57" t="s">
        <v>64</v>
      </c>
      <c r="B58" s="58" t="s">
        <v>65</v>
      </c>
      <c r="C58" s="58" t="s">
        <v>42</v>
      </c>
      <c r="D58" s="59" t="s">
        <v>223</v>
      </c>
      <c r="E58" s="59" t="s">
        <v>66</v>
      </c>
      <c r="F58" s="60" t="s">
        <v>67</v>
      </c>
    </row>
    <row r="59" spans="1:7" ht="13.15" customHeight="1" x14ac:dyDescent="0.2">
      <c r="A59" s="13" t="s">
        <v>205</v>
      </c>
      <c r="B59" s="14" t="s">
        <v>8</v>
      </c>
      <c r="C59" s="14">
        <v>1</v>
      </c>
      <c r="D59" s="284">
        <v>1816.57</v>
      </c>
      <c r="E59" s="15">
        <f>C59*D59</f>
        <v>1816.57</v>
      </c>
    </row>
    <row r="60" spans="1:7" hidden="1" x14ac:dyDescent="0.2">
      <c r="A60" s="16" t="s">
        <v>36</v>
      </c>
      <c r="B60" s="17" t="s">
        <v>0</v>
      </c>
      <c r="C60" s="83"/>
      <c r="D60" s="18">
        <f>D59/220*2</f>
        <v>16.514272727272726</v>
      </c>
      <c r="E60" s="18">
        <f>C60*D60</f>
        <v>0</v>
      </c>
    </row>
    <row r="61" spans="1:7" ht="13.15" hidden="1" customHeight="1" x14ac:dyDescent="0.2">
      <c r="A61" s="16" t="s">
        <v>37</v>
      </c>
      <c r="B61" s="17" t="s">
        <v>0</v>
      </c>
      <c r="C61" s="83"/>
      <c r="D61" s="18">
        <f>D59/220*1.5</f>
        <v>12.385704545454544</v>
      </c>
      <c r="E61" s="18">
        <f>C61*D61</f>
        <v>0</v>
      </c>
    </row>
    <row r="62" spans="1:7" ht="13.15" hidden="1" customHeight="1" x14ac:dyDescent="0.2">
      <c r="A62" s="16" t="s">
        <v>209</v>
      </c>
      <c r="B62" s="17" t="s">
        <v>35</v>
      </c>
      <c r="D62" s="18">
        <f>63/302*(SUM(E60:E61))</f>
        <v>0</v>
      </c>
      <c r="E62" s="18">
        <f>D62</f>
        <v>0</v>
      </c>
    </row>
    <row r="63" spans="1:7" x14ac:dyDescent="0.2">
      <c r="A63" s="16" t="s">
        <v>1</v>
      </c>
      <c r="B63" s="17" t="s">
        <v>2</v>
      </c>
      <c r="C63" s="17">
        <v>40</v>
      </c>
      <c r="D63" s="78">
        <f>SUM(E59:E62)</f>
        <v>1816.57</v>
      </c>
      <c r="E63" s="18">
        <f>C63*D63/100</f>
        <v>726.62800000000004</v>
      </c>
    </row>
    <row r="64" spans="1:7" x14ac:dyDescent="0.2">
      <c r="A64" s="109" t="s">
        <v>3</v>
      </c>
      <c r="B64" s="110"/>
      <c r="C64" s="110"/>
      <c r="D64" s="111"/>
      <c r="E64" s="112">
        <f>SUM(E59:E63)</f>
        <v>2543.1979999999999</v>
      </c>
    </row>
    <row r="65" spans="1:8" x14ac:dyDescent="0.2">
      <c r="A65" s="16" t="s">
        <v>4</v>
      </c>
      <c r="B65" s="17" t="s">
        <v>2</v>
      </c>
      <c r="C65" s="131">
        <f>'6.Enc Sociais'!$C$38*100</f>
        <v>69.355340000000012</v>
      </c>
      <c r="D65" s="18">
        <f>E64</f>
        <v>2543.1979999999999</v>
      </c>
      <c r="E65" s="18">
        <f>D65*C65/100</f>
        <v>1763.8436197732001</v>
      </c>
    </row>
    <row r="66" spans="1:8" x14ac:dyDescent="0.2">
      <c r="A66" s="109" t="s">
        <v>73</v>
      </c>
      <c r="B66" s="110"/>
      <c r="C66" s="110"/>
      <c r="D66" s="111"/>
      <c r="E66" s="112">
        <f>E64+E65</f>
        <v>4307.0416197732002</v>
      </c>
    </row>
    <row r="67" spans="1:8" ht="13.5" thickBot="1" x14ac:dyDescent="0.25">
      <c r="A67" s="16" t="s">
        <v>5</v>
      </c>
      <c r="B67" s="17" t="s">
        <v>6</v>
      </c>
      <c r="C67" s="81">
        <v>3</v>
      </c>
      <c r="D67" s="18">
        <f>E66</f>
        <v>4307.0416197732002</v>
      </c>
      <c r="E67" s="18">
        <f>C67*D67</f>
        <v>12921.1248593196</v>
      </c>
      <c r="G67" s="6"/>
      <c r="H67" s="302"/>
    </row>
    <row r="68" spans="1:8" ht="13.9" customHeight="1" thickBot="1" x14ac:dyDescent="0.25">
      <c r="A68" s="7"/>
      <c r="D68" s="115" t="s">
        <v>184</v>
      </c>
      <c r="E68" s="286">
        <f>$B$54</f>
        <v>0.45477272727272722</v>
      </c>
      <c r="F68" s="116">
        <f>E67*E68</f>
        <v>5876.1751917042084</v>
      </c>
      <c r="G68" s="6"/>
      <c r="H68" s="302"/>
    </row>
    <row r="69" spans="1:8" ht="11.25" customHeight="1" x14ac:dyDescent="0.2">
      <c r="A69" s="7"/>
    </row>
    <row r="70" spans="1:8" hidden="1" x14ac:dyDescent="0.2">
      <c r="A70" s="9" t="s">
        <v>88</v>
      </c>
    </row>
    <row r="71" spans="1:8" ht="13.5" hidden="1" thickBot="1" x14ac:dyDescent="0.25">
      <c r="A71" s="57" t="s">
        <v>64</v>
      </c>
      <c r="B71" s="58" t="s">
        <v>65</v>
      </c>
      <c r="C71" s="58" t="s">
        <v>42</v>
      </c>
      <c r="D71" s="59" t="s">
        <v>223</v>
      </c>
      <c r="E71" s="59" t="s">
        <v>66</v>
      </c>
      <c r="F71" s="60" t="s">
        <v>67</v>
      </c>
    </row>
    <row r="72" spans="1:8" hidden="1" x14ac:dyDescent="0.2">
      <c r="A72" s="13" t="s">
        <v>205</v>
      </c>
      <c r="B72" s="14" t="s">
        <v>8</v>
      </c>
      <c r="C72" s="14">
        <v>1</v>
      </c>
      <c r="D72" s="15">
        <f>D59</f>
        <v>1816.57</v>
      </c>
      <c r="E72" s="15">
        <f>C72*D72</f>
        <v>1816.57</v>
      </c>
    </row>
    <row r="73" spans="1:8" hidden="1" x14ac:dyDescent="0.2">
      <c r="A73" s="16" t="s">
        <v>7</v>
      </c>
      <c r="B73" s="17" t="s">
        <v>96</v>
      </c>
      <c r="C73" s="83"/>
      <c r="D73" s="18"/>
      <c r="E73" s="18"/>
    </row>
    <row r="74" spans="1:8" hidden="1" x14ac:dyDescent="0.2">
      <c r="A74" s="16"/>
      <c r="B74" s="17" t="s">
        <v>98</v>
      </c>
      <c r="C74" s="113">
        <f>C73*8/7</f>
        <v>0</v>
      </c>
      <c r="D74" s="18">
        <f>D72/220*0.2</f>
        <v>1.6514272727272727</v>
      </c>
      <c r="E74" s="18">
        <f>C73*D74</f>
        <v>0</v>
      </c>
    </row>
    <row r="75" spans="1:8" hidden="1" x14ac:dyDescent="0.2">
      <c r="A75" s="16" t="s">
        <v>36</v>
      </c>
      <c r="B75" s="17" t="s">
        <v>0</v>
      </c>
      <c r="C75" s="83"/>
      <c r="D75" s="18">
        <f>D72/220*2</f>
        <v>16.514272727272726</v>
      </c>
      <c r="E75" s="18">
        <f>C75*D75</f>
        <v>0</v>
      </c>
    </row>
    <row r="76" spans="1:8" hidden="1" x14ac:dyDescent="0.2">
      <c r="A76" s="16" t="s">
        <v>97</v>
      </c>
      <c r="B76" s="17" t="s">
        <v>96</v>
      </c>
      <c r="C76" s="83"/>
      <c r="D76" s="18"/>
      <c r="E76" s="18"/>
    </row>
    <row r="77" spans="1:8" hidden="1" x14ac:dyDescent="0.2">
      <c r="A77" s="16"/>
      <c r="B77" s="17" t="s">
        <v>98</v>
      </c>
      <c r="C77" s="113">
        <f>C76*8/7</f>
        <v>0</v>
      </c>
      <c r="D77" s="18">
        <f>D72/220*2*1.2</f>
        <v>19.817127272727269</v>
      </c>
      <c r="E77" s="18">
        <f>C77*D77</f>
        <v>0</v>
      </c>
    </row>
    <row r="78" spans="1:8" hidden="1" x14ac:dyDescent="0.2">
      <c r="A78" s="16" t="s">
        <v>37</v>
      </c>
      <c r="B78" s="17" t="s">
        <v>0</v>
      </c>
      <c r="C78" s="83"/>
      <c r="D78" s="18">
        <f>D72/220*1.5</f>
        <v>12.385704545454544</v>
      </c>
      <c r="E78" s="18">
        <f>C78*D78</f>
        <v>0</v>
      </c>
    </row>
    <row r="79" spans="1:8" hidden="1" x14ac:dyDescent="0.2">
      <c r="A79" s="16" t="s">
        <v>207</v>
      </c>
      <c r="B79" s="17" t="s">
        <v>96</v>
      </c>
      <c r="C79" s="83"/>
      <c r="D79" s="18"/>
      <c r="E79" s="18"/>
    </row>
    <row r="80" spans="1:8" hidden="1" x14ac:dyDescent="0.2">
      <c r="A80" s="16"/>
      <c r="B80" s="17" t="s">
        <v>98</v>
      </c>
      <c r="C80" s="18">
        <f>C79*8/7</f>
        <v>0</v>
      </c>
      <c r="D80" s="18">
        <f>D72/220*1.5*1.2</f>
        <v>14.862845454545452</v>
      </c>
      <c r="E80" s="18">
        <f>C80*D80</f>
        <v>0</v>
      </c>
    </row>
    <row r="81" spans="1:7" ht="13.15" hidden="1" customHeight="1" x14ac:dyDescent="0.2">
      <c r="A81" s="16" t="s">
        <v>209</v>
      </c>
      <c r="B81" s="17" t="s">
        <v>35</v>
      </c>
      <c r="D81" s="18">
        <f>63/302*(SUM(E75:E80))</f>
        <v>0</v>
      </c>
      <c r="E81" s="18">
        <f>D81</f>
        <v>0</v>
      </c>
    </row>
    <row r="82" spans="1:7" hidden="1" x14ac:dyDescent="0.2">
      <c r="A82" s="16" t="s">
        <v>1</v>
      </c>
      <c r="B82" s="17" t="s">
        <v>2</v>
      </c>
      <c r="C82" s="17">
        <f>+C63</f>
        <v>40</v>
      </c>
      <c r="D82" s="78">
        <f>SUM(E72:E81)</f>
        <v>1816.57</v>
      </c>
      <c r="E82" s="18">
        <f>C82*D82/100</f>
        <v>726.62800000000004</v>
      </c>
    </row>
    <row r="83" spans="1:7" hidden="1" x14ac:dyDescent="0.2">
      <c r="A83" s="109" t="s">
        <v>3</v>
      </c>
      <c r="B83" s="110"/>
      <c r="C83" s="110"/>
      <c r="D83" s="111"/>
      <c r="E83" s="112">
        <f>SUM(E72:E82)</f>
        <v>2543.1979999999999</v>
      </c>
    </row>
    <row r="84" spans="1:7" hidden="1" x14ac:dyDescent="0.2">
      <c r="A84" s="16" t="s">
        <v>4</v>
      </c>
      <c r="B84" s="17" t="s">
        <v>2</v>
      </c>
      <c r="C84" s="131">
        <f>'6.Enc Sociais'!$C$38*100</f>
        <v>69.355340000000012</v>
      </c>
      <c r="D84" s="18">
        <f>E83</f>
        <v>2543.1979999999999</v>
      </c>
      <c r="E84" s="18">
        <f>D84*C84/100</f>
        <v>1763.8436197732001</v>
      </c>
    </row>
    <row r="85" spans="1:7" hidden="1" x14ac:dyDescent="0.2">
      <c r="A85" s="109" t="s">
        <v>73</v>
      </c>
      <c r="B85" s="110"/>
      <c r="C85" s="110"/>
      <c r="D85" s="111"/>
      <c r="E85" s="112">
        <f>E83+E84</f>
        <v>4307.0416197732002</v>
      </c>
    </row>
    <row r="86" spans="1:7" hidden="1" x14ac:dyDescent="0.2">
      <c r="A86" s="16" t="s">
        <v>5</v>
      </c>
      <c r="B86" s="17" t="s">
        <v>6</v>
      </c>
      <c r="C86" s="81"/>
      <c r="D86" s="18">
        <f>E85</f>
        <v>4307.0416197732002</v>
      </c>
      <c r="E86" s="18">
        <f>C86*D86</f>
        <v>0</v>
      </c>
    </row>
    <row r="87" spans="1:7" ht="13.5" hidden="1" thickBot="1" x14ac:dyDescent="0.25">
      <c r="D87" s="115" t="s">
        <v>184</v>
      </c>
      <c r="E87" s="49">
        <f>$B$54</f>
        <v>0.45477272727272722</v>
      </c>
      <c r="F87" s="116">
        <f>E86*E87</f>
        <v>0</v>
      </c>
    </row>
    <row r="88" spans="1:7" ht="13.5" thickBot="1" x14ac:dyDescent="0.25">
      <c r="A88" s="7" t="s">
        <v>386</v>
      </c>
    </row>
    <row r="89" spans="1:7" s="12" customFormat="1" ht="13.15" customHeight="1" thickBot="1" x14ac:dyDescent="0.25">
      <c r="A89" s="57" t="s">
        <v>64</v>
      </c>
      <c r="B89" s="58" t="s">
        <v>65</v>
      </c>
      <c r="C89" s="58" t="s">
        <v>42</v>
      </c>
      <c r="D89" s="59" t="s">
        <v>223</v>
      </c>
      <c r="E89" s="59" t="s">
        <v>66</v>
      </c>
      <c r="F89" s="60" t="s">
        <v>67</v>
      </c>
      <c r="G89" s="10"/>
    </row>
    <row r="90" spans="1:7" x14ac:dyDescent="0.2">
      <c r="A90" s="277" t="s">
        <v>282</v>
      </c>
      <c r="B90" s="14" t="s">
        <v>8</v>
      </c>
      <c r="C90" s="14">
        <v>1</v>
      </c>
      <c r="D90" s="284">
        <f>'1. Coleta Orgânica'!D92</f>
        <v>2251.4899999999998</v>
      </c>
      <c r="E90" s="15">
        <f>C90*D90</f>
        <v>2251.4899999999998</v>
      </c>
    </row>
    <row r="91" spans="1:7" x14ac:dyDescent="0.2">
      <c r="A91" s="277" t="s">
        <v>283</v>
      </c>
      <c r="B91" s="14" t="s">
        <v>8</v>
      </c>
      <c r="C91" s="14">
        <v>1</v>
      </c>
      <c r="D91" s="82">
        <f>'1. Coleta Orgânica'!D93</f>
        <v>1412</v>
      </c>
      <c r="E91" s="15"/>
    </row>
    <row r="92" spans="1:7" hidden="1" x14ac:dyDescent="0.2">
      <c r="A92" s="16" t="s">
        <v>36</v>
      </c>
      <c r="B92" s="17" t="s">
        <v>0</v>
      </c>
      <c r="C92" s="83"/>
      <c r="D92" s="18">
        <f>D90/220*2</f>
        <v>20.468090909090908</v>
      </c>
      <c r="E92" s="18">
        <f>C92*D92</f>
        <v>0</v>
      </c>
    </row>
    <row r="93" spans="1:7" hidden="1" x14ac:dyDescent="0.2">
      <c r="A93" s="16" t="s">
        <v>37</v>
      </c>
      <c r="B93" s="17" t="s">
        <v>0</v>
      </c>
      <c r="C93" s="83"/>
      <c r="D93" s="18">
        <f>D90/220*1.5</f>
        <v>15.351068181818182</v>
      </c>
      <c r="E93" s="18">
        <f>C93*D93</f>
        <v>0</v>
      </c>
    </row>
    <row r="94" spans="1:7" ht="13.15" hidden="1" customHeight="1" x14ac:dyDescent="0.2">
      <c r="A94" s="16" t="s">
        <v>209</v>
      </c>
      <c r="B94" s="17" t="s">
        <v>35</v>
      </c>
      <c r="D94" s="18">
        <f>63/302*(SUM(E92:E93))</f>
        <v>0</v>
      </c>
      <c r="E94" s="18">
        <f>D94</f>
        <v>0</v>
      </c>
    </row>
    <row r="95" spans="1:7" x14ac:dyDescent="0.2">
      <c r="A95" s="16" t="s">
        <v>206</v>
      </c>
      <c r="B95" s="17"/>
      <c r="C95" s="85">
        <v>1</v>
      </c>
      <c r="D95" s="18"/>
      <c r="E95" s="18"/>
    </row>
    <row r="96" spans="1:7" x14ac:dyDescent="0.2">
      <c r="A96" s="16" t="s">
        <v>1</v>
      </c>
      <c r="B96" s="17" t="s">
        <v>2</v>
      </c>
      <c r="C96" s="81">
        <v>20</v>
      </c>
      <c r="D96" s="78">
        <f>IF(C95=2,SUM(E90:E94),IF(C95=1,(SUM(E90:E94))*D91/D90,0))</f>
        <v>1412</v>
      </c>
      <c r="E96" s="18">
        <f>C96*D96/100</f>
        <v>282.39999999999998</v>
      </c>
    </row>
    <row r="97" spans="1:8" s="11" customFormat="1" x14ac:dyDescent="0.2">
      <c r="A97" s="96" t="s">
        <v>3</v>
      </c>
      <c r="B97" s="110"/>
      <c r="C97" s="110"/>
      <c r="D97" s="111"/>
      <c r="E97" s="98">
        <f>SUM(E90:E96)</f>
        <v>2533.89</v>
      </c>
      <c r="F97" s="43"/>
      <c r="G97" s="43"/>
    </row>
    <row r="98" spans="1:8" x14ac:dyDescent="0.2">
      <c r="A98" s="16" t="s">
        <v>4</v>
      </c>
      <c r="B98" s="17" t="s">
        <v>2</v>
      </c>
      <c r="C98" s="131">
        <f>'6.Enc Sociais'!$C$38*100</f>
        <v>69.355340000000012</v>
      </c>
      <c r="D98" s="18">
        <f>E97</f>
        <v>2533.89</v>
      </c>
      <c r="E98" s="18">
        <f>D98*C98/100</f>
        <v>1757.3880247260001</v>
      </c>
    </row>
    <row r="99" spans="1:8" s="11" customFormat="1" x14ac:dyDescent="0.2">
      <c r="A99" s="96" t="s">
        <v>243</v>
      </c>
      <c r="B99" s="246"/>
      <c r="C99" s="246"/>
      <c r="D99" s="247"/>
      <c r="E99" s="98">
        <f>E97+E98</f>
        <v>4291.2780247259998</v>
      </c>
      <c r="F99" s="43"/>
      <c r="G99" s="43"/>
    </row>
    <row r="100" spans="1:8" ht="13.5" thickBot="1" x14ac:dyDescent="0.25">
      <c r="A100" s="16" t="s">
        <v>5</v>
      </c>
      <c r="B100" s="17" t="s">
        <v>6</v>
      </c>
      <c r="C100" s="81">
        <v>1</v>
      </c>
      <c r="D100" s="18">
        <f>E99</f>
        <v>4291.2780247259998</v>
      </c>
      <c r="E100" s="18">
        <f>C100*D100</f>
        <v>4291.2780247259998</v>
      </c>
    </row>
    <row r="101" spans="1:8" ht="13.5" thickBot="1" x14ac:dyDescent="0.25">
      <c r="A101" s="7" t="s">
        <v>546</v>
      </c>
      <c r="D101" s="115" t="s">
        <v>184</v>
      </c>
      <c r="E101" s="286">
        <f>'11. Horários'!G62</f>
        <v>0.48886363636363628</v>
      </c>
      <c r="F101" s="116">
        <f>E100*E101</f>
        <v>2097.8497798149147</v>
      </c>
      <c r="H101" s="302"/>
    </row>
    <row r="102" spans="1:8" ht="11.25" customHeight="1" x14ac:dyDescent="0.2">
      <c r="A102" s="7"/>
    </row>
    <row r="103" spans="1:8" ht="13.5" thickBot="1" x14ac:dyDescent="0.25">
      <c r="A103" s="7" t="s">
        <v>387</v>
      </c>
    </row>
    <row r="104" spans="1:8" ht="13.5" thickBot="1" x14ac:dyDescent="0.25">
      <c r="A104" s="57" t="s">
        <v>64</v>
      </c>
      <c r="B104" s="58" t="s">
        <v>65</v>
      </c>
      <c r="C104" s="58" t="s">
        <v>42</v>
      </c>
      <c r="D104" s="59" t="s">
        <v>223</v>
      </c>
      <c r="E104" s="59" t="s">
        <v>66</v>
      </c>
      <c r="F104" s="60" t="s">
        <v>67</v>
      </c>
    </row>
    <row r="105" spans="1:8" x14ac:dyDescent="0.2">
      <c r="A105" s="277" t="s">
        <v>410</v>
      </c>
      <c r="B105" s="14" t="s">
        <v>8</v>
      </c>
      <c r="C105" s="14">
        <v>1</v>
      </c>
      <c r="D105" s="82">
        <f>'1. Coleta Orgânica'!D108</f>
        <v>2500</v>
      </c>
      <c r="E105" s="15">
        <f>C105*D105</f>
        <v>2500</v>
      </c>
    </row>
    <row r="106" spans="1:8" hidden="1" x14ac:dyDescent="0.2">
      <c r="A106" s="277" t="s">
        <v>283</v>
      </c>
      <c r="B106" s="14" t="s">
        <v>8</v>
      </c>
      <c r="C106" s="14">
        <v>1</v>
      </c>
      <c r="D106" s="18">
        <f>D91</f>
        <v>1412</v>
      </c>
      <c r="E106" s="18"/>
    </row>
    <row r="107" spans="1:8" hidden="1" x14ac:dyDescent="0.2">
      <c r="A107" s="16" t="s">
        <v>7</v>
      </c>
      <c r="B107" s="17" t="s">
        <v>96</v>
      </c>
      <c r="C107" s="83"/>
      <c r="D107" s="16"/>
      <c r="E107" s="16"/>
    </row>
    <row r="108" spans="1:8" hidden="1" x14ac:dyDescent="0.2">
      <c r="A108" s="16"/>
      <c r="B108" s="17" t="s">
        <v>98</v>
      </c>
      <c r="C108" s="18">
        <f>C107*8/7</f>
        <v>0</v>
      </c>
      <c r="D108" s="18">
        <f>D105/220*0.2</f>
        <v>2.2727272727272729</v>
      </c>
      <c r="E108" s="18">
        <f>C107*D108</f>
        <v>0</v>
      </c>
    </row>
    <row r="109" spans="1:8" hidden="1" x14ac:dyDescent="0.2">
      <c r="A109" s="16" t="s">
        <v>36</v>
      </c>
      <c r="B109" s="17" t="s">
        <v>0</v>
      </c>
      <c r="C109" s="83"/>
      <c r="D109" s="18">
        <f>D105/220*2</f>
        <v>22.727272727272727</v>
      </c>
      <c r="E109" s="18">
        <f>C109*D109</f>
        <v>0</v>
      </c>
      <c r="G109" s="10" t="s">
        <v>239</v>
      </c>
    </row>
    <row r="110" spans="1:8" hidden="1" x14ac:dyDescent="0.2">
      <c r="A110" s="16" t="s">
        <v>97</v>
      </c>
      <c r="B110" s="17" t="s">
        <v>96</v>
      </c>
      <c r="C110" s="83"/>
      <c r="D110" s="18"/>
      <c r="E110" s="18"/>
      <c r="G110" s="10" t="s">
        <v>240</v>
      </c>
    </row>
    <row r="111" spans="1:8" hidden="1" x14ac:dyDescent="0.2">
      <c r="A111" s="16"/>
      <c r="B111" s="17" t="s">
        <v>98</v>
      </c>
      <c r="C111" s="18">
        <f>C110*8/7</f>
        <v>0</v>
      </c>
      <c r="D111" s="18">
        <f>D105/220*2*1.2</f>
        <v>27.27272727272727</v>
      </c>
      <c r="E111" s="18">
        <f>C111*D111</f>
        <v>0</v>
      </c>
      <c r="G111" s="10" t="s">
        <v>240</v>
      </c>
    </row>
    <row r="112" spans="1:8" hidden="1" x14ac:dyDescent="0.2">
      <c r="A112" s="16" t="s">
        <v>37</v>
      </c>
      <c r="B112" s="17" t="s">
        <v>0</v>
      </c>
      <c r="C112" s="83"/>
      <c r="D112" s="18">
        <f>D105/220*1.5</f>
        <v>17.045454545454547</v>
      </c>
      <c r="E112" s="18">
        <f>C112*D112</f>
        <v>0</v>
      </c>
      <c r="G112" s="10" t="s">
        <v>241</v>
      </c>
    </row>
    <row r="113" spans="1:8" hidden="1" x14ac:dyDescent="0.2">
      <c r="A113" s="16" t="s">
        <v>207</v>
      </c>
      <c r="B113" s="17" t="s">
        <v>96</v>
      </c>
      <c r="C113" s="83"/>
      <c r="D113" s="18"/>
      <c r="E113" s="18"/>
      <c r="G113" s="10" t="s">
        <v>242</v>
      </c>
    </row>
    <row r="114" spans="1:8" hidden="1" x14ac:dyDescent="0.2">
      <c r="A114" s="16"/>
      <c r="B114" s="17" t="s">
        <v>98</v>
      </c>
      <c r="C114" s="18">
        <f>C113*8/7</f>
        <v>0</v>
      </c>
      <c r="D114" s="18">
        <f>D105/220*1.5*1.2</f>
        <v>20.454545454545457</v>
      </c>
      <c r="E114" s="18">
        <f>C114*D114</f>
        <v>0</v>
      </c>
      <c r="G114" s="10" t="s">
        <v>242</v>
      </c>
    </row>
    <row r="115" spans="1:8" ht="13.15" hidden="1" customHeight="1" x14ac:dyDescent="0.2">
      <c r="A115" s="16" t="s">
        <v>209</v>
      </c>
      <c r="B115" s="17" t="s">
        <v>35</v>
      </c>
      <c r="D115" s="18">
        <f>63/302*(SUM(E109:E114))</f>
        <v>0</v>
      </c>
      <c r="E115" s="18">
        <f>D115</f>
        <v>0</v>
      </c>
      <c r="G115" s="10" t="s">
        <v>208</v>
      </c>
    </row>
    <row r="116" spans="1:8" hidden="1" x14ac:dyDescent="0.2">
      <c r="A116" s="16" t="s">
        <v>206</v>
      </c>
      <c r="B116" s="17"/>
      <c r="C116" s="85"/>
      <c r="D116" s="18"/>
      <c r="E116" s="18"/>
    </row>
    <row r="117" spans="1:8" hidden="1" x14ac:dyDescent="0.2">
      <c r="A117" s="16" t="s">
        <v>1</v>
      </c>
      <c r="B117" s="17" t="s">
        <v>2</v>
      </c>
      <c r="C117" s="78">
        <f>+C96</f>
        <v>20</v>
      </c>
      <c r="D117" s="78">
        <f>IF(C116=2,SUM(E105:E115),IF(C116=1,SUM(E105:E115)*D106/D105,0))</f>
        <v>0</v>
      </c>
      <c r="E117" s="18">
        <f>C117*D117/100</f>
        <v>0</v>
      </c>
    </row>
    <row r="118" spans="1:8" s="11" customFormat="1" x14ac:dyDescent="0.2">
      <c r="A118" s="109" t="s">
        <v>3</v>
      </c>
      <c r="B118" s="110"/>
      <c r="C118" s="110"/>
      <c r="D118" s="111"/>
      <c r="E118" s="112">
        <f>SUM(E105:E117)</f>
        <v>2500</v>
      </c>
      <c r="F118" s="43"/>
      <c r="G118" s="43"/>
    </row>
    <row r="119" spans="1:8" x14ac:dyDescent="0.2">
      <c r="A119" s="16" t="s">
        <v>4</v>
      </c>
      <c r="B119" s="17" t="s">
        <v>2</v>
      </c>
      <c r="C119" s="131">
        <f>'6.Enc Sociais'!$C$38*100</f>
        <v>69.355340000000012</v>
      </c>
      <c r="D119" s="18">
        <f>E118</f>
        <v>2500</v>
      </c>
      <c r="E119" s="18">
        <f>D119*C119/100</f>
        <v>1733.8835000000004</v>
      </c>
    </row>
    <row r="120" spans="1:8" s="11" customFormat="1" x14ac:dyDescent="0.2">
      <c r="A120" s="109" t="s">
        <v>375</v>
      </c>
      <c r="B120" s="110"/>
      <c r="C120" s="110"/>
      <c r="D120" s="111"/>
      <c r="E120" s="112">
        <f>E118+E119</f>
        <v>4233.8834999999999</v>
      </c>
      <c r="F120" s="43"/>
      <c r="G120" s="43"/>
    </row>
    <row r="121" spans="1:8" ht="13.5" thickBot="1" x14ac:dyDescent="0.25">
      <c r="A121" s="16" t="s">
        <v>5</v>
      </c>
      <c r="B121" s="17" t="s">
        <v>6</v>
      </c>
      <c r="C121" s="81">
        <v>1</v>
      </c>
      <c r="D121" s="18">
        <f>E120</f>
        <v>4233.8834999999999</v>
      </c>
      <c r="E121" s="18">
        <f>C121*D121</f>
        <v>4233.8834999999999</v>
      </c>
    </row>
    <row r="122" spans="1:8" ht="13.5" thickBot="1" x14ac:dyDescent="0.25">
      <c r="A122" s="11" t="s">
        <v>481</v>
      </c>
      <c r="D122" s="115" t="s">
        <v>184</v>
      </c>
      <c r="E122" s="286">
        <f>5/44</f>
        <v>0.11363636363636363</v>
      </c>
      <c r="F122" s="116">
        <f>E121*E122</f>
        <v>481.12312499999996</v>
      </c>
    </row>
    <row r="123" spans="1:8" ht="11.25" customHeight="1" x14ac:dyDescent="0.2">
      <c r="G123" s="9"/>
    </row>
    <row r="124" spans="1:8" ht="13.5" thickBot="1" x14ac:dyDescent="0.25">
      <c r="A124" s="7" t="s">
        <v>388</v>
      </c>
      <c r="B124" s="88"/>
      <c r="D124" s="9"/>
      <c r="E124" s="302"/>
      <c r="G124" s="9"/>
    </row>
    <row r="125" spans="1:8" ht="13.5" thickBot="1" x14ac:dyDescent="0.25">
      <c r="A125" s="57" t="s">
        <v>64</v>
      </c>
      <c r="B125" s="58" t="s">
        <v>65</v>
      </c>
      <c r="C125" s="58" t="s">
        <v>42</v>
      </c>
      <c r="D125" s="59" t="s">
        <v>223</v>
      </c>
      <c r="E125" s="59" t="s">
        <v>66</v>
      </c>
      <c r="F125" s="60" t="s">
        <v>67</v>
      </c>
      <c r="G125" s="9"/>
    </row>
    <row r="126" spans="1:8" x14ac:dyDescent="0.2">
      <c r="A126" s="16" t="s">
        <v>89</v>
      </c>
      <c r="B126" s="17" t="s">
        <v>35</v>
      </c>
      <c r="C126" s="89">
        <v>1</v>
      </c>
      <c r="D126" s="87">
        <v>5.5</v>
      </c>
      <c r="E126" s="18"/>
      <c r="G126" s="9"/>
    </row>
    <row r="127" spans="1:8" x14ac:dyDescent="0.2">
      <c r="A127" s="16" t="s">
        <v>90</v>
      </c>
      <c r="B127" s="17" t="s">
        <v>91</v>
      </c>
      <c r="C127" s="86">
        <v>8</v>
      </c>
      <c r="D127" s="18"/>
      <c r="E127" s="18"/>
      <c r="G127" s="80"/>
      <c r="H127" s="80"/>
    </row>
    <row r="128" spans="1:8" ht="13.5" thickBot="1" x14ac:dyDescent="0.25">
      <c r="A128" s="16" t="s">
        <v>74</v>
      </c>
      <c r="B128" s="17" t="s">
        <v>9</v>
      </c>
      <c r="C128" s="36">
        <f>$C$127*2*(C67+C86)</f>
        <v>48</v>
      </c>
      <c r="D128" s="15">
        <f>D126-(E59/42*0.06)</f>
        <v>2.9049</v>
      </c>
      <c r="E128" s="18">
        <f>IFERROR(C128*D128,"-")</f>
        <v>139.43520000000001</v>
      </c>
      <c r="H128" s="80"/>
    </row>
    <row r="129" spans="1:8" ht="13.5" hidden="1" thickBot="1" x14ac:dyDescent="0.25">
      <c r="A129" s="13" t="s">
        <v>46</v>
      </c>
      <c r="B129" s="14" t="s">
        <v>9</v>
      </c>
      <c r="C129" s="36"/>
      <c r="D129" s="15">
        <f>D126-(E90/42*0.06)</f>
        <v>2.2835857142857146</v>
      </c>
      <c r="E129" s="15">
        <f>IFERROR(C129*D129,"-")</f>
        <v>0</v>
      </c>
      <c r="G129" s="9"/>
      <c r="H129" s="80"/>
    </row>
    <row r="130" spans="1:8" ht="13.5" thickBot="1" x14ac:dyDescent="0.25">
      <c r="F130" s="22">
        <f>SUM(E128:E129)</f>
        <v>139.43520000000001</v>
      </c>
      <c r="G130" s="9"/>
    </row>
    <row r="131" spans="1:8" ht="11.25" customHeight="1" x14ac:dyDescent="0.2">
      <c r="G131" s="9"/>
    </row>
    <row r="132" spans="1:8" ht="13.5" thickBot="1" x14ac:dyDescent="0.25">
      <c r="A132" s="7" t="s">
        <v>389</v>
      </c>
      <c r="F132" s="23"/>
      <c r="G132" s="9"/>
    </row>
    <row r="133" spans="1:8" ht="13.5" thickBot="1" x14ac:dyDescent="0.25">
      <c r="A133" s="57" t="s">
        <v>64</v>
      </c>
      <c r="B133" s="58" t="s">
        <v>65</v>
      </c>
      <c r="C133" s="58" t="s">
        <v>42</v>
      </c>
      <c r="D133" s="59" t="s">
        <v>223</v>
      </c>
      <c r="E133" s="59" t="s">
        <v>66</v>
      </c>
      <c r="F133" s="60" t="s">
        <v>67</v>
      </c>
      <c r="G133" s="9"/>
    </row>
    <row r="134" spans="1:8" x14ac:dyDescent="0.2">
      <c r="A134" s="16" t="str">
        <f>+A128</f>
        <v>Coletor</v>
      </c>
      <c r="B134" s="17" t="s">
        <v>10</v>
      </c>
      <c r="C134" s="95">
        <f>C127*(E44+E45)</f>
        <v>24</v>
      </c>
      <c r="D134" s="84">
        <f>23.68*0.81</f>
        <v>19.180800000000001</v>
      </c>
      <c r="E134" s="49">
        <f>C134*D134</f>
        <v>460.33920000000001</v>
      </c>
      <c r="F134" s="23"/>
      <c r="G134" s="9"/>
    </row>
    <row r="135" spans="1:8" ht="13.5" thickBot="1" x14ac:dyDescent="0.25">
      <c r="A135" s="298" t="s">
        <v>46</v>
      </c>
      <c r="B135" s="17" t="s">
        <v>10</v>
      </c>
      <c r="C135" s="95">
        <f>C127*(E46)</f>
        <v>8</v>
      </c>
      <c r="D135" s="84">
        <f>16*0.8</f>
        <v>12.8</v>
      </c>
      <c r="E135" s="49">
        <f>C135*D135</f>
        <v>102.4</v>
      </c>
      <c r="F135" s="23"/>
      <c r="G135" s="9"/>
    </row>
    <row r="136" spans="1:8" ht="13.5" thickBot="1" x14ac:dyDescent="0.25">
      <c r="A136" s="7"/>
      <c r="F136" s="22">
        <f>SUM(E134:E135)</f>
        <v>562.73919999999998</v>
      </c>
      <c r="G136" s="9"/>
    </row>
    <row r="137" spans="1:8" x14ac:dyDescent="0.2">
      <c r="G137" s="9"/>
    </row>
    <row r="138" spans="1:8" ht="13.5" thickBot="1" x14ac:dyDescent="0.25">
      <c r="A138" s="7" t="s">
        <v>390</v>
      </c>
      <c r="F138" s="23"/>
      <c r="G138" s="9"/>
    </row>
    <row r="139" spans="1:8" ht="13.5" thickBot="1" x14ac:dyDescent="0.25">
      <c r="A139" s="57" t="s">
        <v>64</v>
      </c>
      <c r="B139" s="58" t="s">
        <v>65</v>
      </c>
      <c r="C139" s="58" t="s">
        <v>42</v>
      </c>
      <c r="D139" s="59" t="s">
        <v>223</v>
      </c>
      <c r="E139" s="59" t="s">
        <v>66</v>
      </c>
      <c r="F139" s="60" t="s">
        <v>67</v>
      </c>
      <c r="G139" s="9"/>
    </row>
    <row r="140" spans="1:8" hidden="1" x14ac:dyDescent="0.2">
      <c r="A140" s="16" t="str">
        <f>+A134</f>
        <v>Coletor</v>
      </c>
      <c r="B140" s="17" t="s">
        <v>10</v>
      </c>
      <c r="C140" s="95">
        <f>E44+E45</f>
        <v>3</v>
      </c>
      <c r="D140" s="84"/>
      <c r="E140" s="49">
        <f>C140*D140</f>
        <v>0</v>
      </c>
      <c r="F140" s="23"/>
      <c r="G140" s="9"/>
    </row>
    <row r="141" spans="1:8" ht="13.5" thickBot="1" x14ac:dyDescent="0.25">
      <c r="A141" s="16" t="str">
        <f>A135</f>
        <v>Motorista</v>
      </c>
      <c r="B141" s="17" t="s">
        <v>10</v>
      </c>
      <c r="C141" s="95">
        <f>E46</f>
        <v>1</v>
      </c>
      <c r="D141" s="84">
        <f>121.43*0.8</f>
        <v>97.144000000000005</v>
      </c>
      <c r="E141" s="49">
        <f>C141*D141</f>
        <v>97.144000000000005</v>
      </c>
      <c r="F141" s="23"/>
      <c r="G141" s="9"/>
    </row>
    <row r="142" spans="1:8" ht="13.5" thickBot="1" x14ac:dyDescent="0.25">
      <c r="D142" s="115" t="s">
        <v>184</v>
      </c>
      <c r="E142" s="286">
        <f>E101</f>
        <v>0.48886363636363628</v>
      </c>
      <c r="F142" s="22">
        <f>SUM(E140:E141)*E142</f>
        <v>47.490169090909085</v>
      </c>
      <c r="G142" s="9"/>
    </row>
    <row r="143" spans="1:8" x14ac:dyDescent="0.2">
      <c r="D143" s="115"/>
      <c r="E143" s="324"/>
      <c r="G143" s="9"/>
    </row>
    <row r="144" spans="1:8" ht="13.5" thickBot="1" x14ac:dyDescent="0.25">
      <c r="A144" s="7" t="s">
        <v>391</v>
      </c>
      <c r="B144" s="7"/>
      <c r="C144" s="7"/>
      <c r="D144" s="305"/>
      <c r="E144" s="305"/>
      <c r="F144" s="23"/>
      <c r="G144" s="9"/>
    </row>
    <row r="145" spans="1:7" ht="13.5" thickBot="1" x14ac:dyDescent="0.25">
      <c r="A145" s="57" t="s">
        <v>64</v>
      </c>
      <c r="B145" s="58" t="s">
        <v>65</v>
      </c>
      <c r="C145" s="58" t="s">
        <v>42</v>
      </c>
      <c r="D145" s="59" t="s">
        <v>223</v>
      </c>
      <c r="E145" s="59" t="s">
        <v>66</v>
      </c>
      <c r="F145" s="60" t="s">
        <v>67</v>
      </c>
      <c r="G145" s="9"/>
    </row>
    <row r="146" spans="1:7" ht="13.5" thickBot="1" x14ac:dyDescent="0.25">
      <c r="A146" s="298" t="s">
        <v>356</v>
      </c>
      <c r="B146" s="322" t="s">
        <v>10</v>
      </c>
      <c r="C146" s="325">
        <f>C67</f>
        <v>3</v>
      </c>
      <c r="D146" s="326">
        <v>19.420000000000002</v>
      </c>
      <c r="E146" s="327">
        <f>C146*D146</f>
        <v>58.260000000000005</v>
      </c>
      <c r="F146" s="23"/>
      <c r="G146" s="9"/>
    </row>
    <row r="147" spans="1:7" ht="13.5" hidden="1" thickBot="1" x14ac:dyDescent="0.25">
      <c r="A147" s="298"/>
      <c r="B147" s="322" t="s">
        <v>10</v>
      </c>
      <c r="C147" s="325">
        <v>0</v>
      </c>
      <c r="D147" s="326">
        <v>0</v>
      </c>
      <c r="E147" s="327"/>
      <c r="F147" s="23"/>
      <c r="G147" s="9"/>
    </row>
    <row r="148" spans="1:7" ht="13.5" thickBot="1" x14ac:dyDescent="0.25">
      <c r="A148" s="328"/>
      <c r="B148" s="328"/>
      <c r="C148" s="7"/>
      <c r="D148" s="307" t="s">
        <v>355</v>
      </c>
      <c r="E148" s="334">
        <f>E68</f>
        <v>0.45477272727272722</v>
      </c>
      <c r="F148" s="329">
        <f>SUM(E146:E147)*E148</f>
        <v>26.495059090909091</v>
      </c>
      <c r="G148" s="9"/>
    </row>
    <row r="149" spans="1:7" ht="13.5" thickBot="1" x14ac:dyDescent="0.25">
      <c r="D149" s="115"/>
      <c r="E149" s="324"/>
      <c r="G149" s="9"/>
    </row>
    <row r="150" spans="1:7" ht="13.5" thickBot="1" x14ac:dyDescent="0.25">
      <c r="A150" s="24" t="s">
        <v>92</v>
      </c>
      <c r="B150" s="25"/>
      <c r="C150" s="25"/>
      <c r="D150" s="26"/>
      <c r="E150" s="27"/>
      <c r="F150" s="22">
        <f>F142+F136+F130+F122+F101+F87+F68+F148</f>
        <v>9231.3077247009405</v>
      </c>
      <c r="G150" s="9"/>
    </row>
    <row r="152" spans="1:7" x14ac:dyDescent="0.2">
      <c r="A152" s="11" t="s">
        <v>47</v>
      </c>
      <c r="G152" s="9"/>
    </row>
    <row r="153" spans="1:7" ht="11.25" customHeight="1" x14ac:dyDescent="0.2">
      <c r="G153" s="9"/>
    </row>
    <row r="154" spans="1:7" ht="13.9" customHeight="1" x14ac:dyDescent="0.2">
      <c r="A154" s="9" t="s">
        <v>186</v>
      </c>
      <c r="G154" s="9"/>
    </row>
    <row r="155" spans="1:7" ht="11.25" customHeight="1" thickBot="1" x14ac:dyDescent="0.25">
      <c r="G155" s="9"/>
    </row>
    <row r="156" spans="1:7" ht="27.75" customHeight="1" thickBot="1" x14ac:dyDescent="0.25">
      <c r="A156" s="57" t="s">
        <v>64</v>
      </c>
      <c r="B156" s="58" t="s">
        <v>65</v>
      </c>
      <c r="C156" s="248" t="s">
        <v>245</v>
      </c>
      <c r="D156" s="59" t="s">
        <v>223</v>
      </c>
      <c r="E156" s="59" t="s">
        <v>66</v>
      </c>
      <c r="F156" s="60" t="s">
        <v>67</v>
      </c>
      <c r="G156" s="9"/>
    </row>
    <row r="157" spans="1:7" x14ac:dyDescent="0.2">
      <c r="A157" s="13" t="s">
        <v>68</v>
      </c>
      <c r="B157" s="14" t="s">
        <v>10</v>
      </c>
      <c r="C157" s="297">
        <v>12</v>
      </c>
      <c r="D157" s="284">
        <v>150</v>
      </c>
      <c r="E157" s="15">
        <f>IFERROR(D157/C157,0)</f>
        <v>12.5</v>
      </c>
      <c r="G157" s="9"/>
    </row>
    <row r="158" spans="1:7" ht="13.15" customHeight="1" x14ac:dyDescent="0.2">
      <c r="A158" s="16" t="s">
        <v>30</v>
      </c>
      <c r="B158" s="17" t="s">
        <v>10</v>
      </c>
      <c r="C158" s="297">
        <v>4</v>
      </c>
      <c r="D158" s="296">
        <v>60</v>
      </c>
      <c r="E158" s="15">
        <f t="shared" ref="E158:E168" si="1">IFERROR(D158/C158,0)</f>
        <v>15</v>
      </c>
      <c r="G158" s="9"/>
    </row>
    <row r="159" spans="1:7" ht="13.15" customHeight="1" x14ac:dyDescent="0.2">
      <c r="A159" s="298" t="s">
        <v>405</v>
      </c>
      <c r="B159" s="17" t="s">
        <v>10</v>
      </c>
      <c r="C159" s="297">
        <v>4</v>
      </c>
      <c r="D159" s="296">
        <v>30</v>
      </c>
      <c r="E159" s="15">
        <f t="shared" si="1"/>
        <v>7.5</v>
      </c>
      <c r="G159" s="9"/>
    </row>
    <row r="160" spans="1:7" x14ac:dyDescent="0.2">
      <c r="A160" s="298" t="s">
        <v>406</v>
      </c>
      <c r="B160" s="17" t="s">
        <v>10</v>
      </c>
      <c r="C160" s="297">
        <v>3</v>
      </c>
      <c r="D160" s="296">
        <v>38</v>
      </c>
      <c r="E160" s="15">
        <f t="shared" si="1"/>
        <v>12.666666666666666</v>
      </c>
      <c r="G160" s="9"/>
    </row>
    <row r="161" spans="1:7" x14ac:dyDescent="0.2">
      <c r="A161" s="298" t="s">
        <v>433</v>
      </c>
      <c r="B161" s="17" t="s">
        <v>10</v>
      </c>
      <c r="C161" s="297">
        <v>3</v>
      </c>
      <c r="D161" s="296">
        <v>40</v>
      </c>
      <c r="E161" s="15">
        <f t="shared" si="1"/>
        <v>13.333333333333334</v>
      </c>
      <c r="G161" s="9"/>
    </row>
    <row r="162" spans="1:7" ht="13.15" customHeight="1" x14ac:dyDescent="0.2">
      <c r="A162" s="16" t="s">
        <v>32</v>
      </c>
      <c r="B162" s="17" t="s">
        <v>10</v>
      </c>
      <c r="C162" s="297">
        <v>6</v>
      </c>
      <c r="D162" s="296">
        <v>22</v>
      </c>
      <c r="E162" s="15">
        <f t="shared" si="1"/>
        <v>3.6666666666666665</v>
      </c>
      <c r="G162" s="9"/>
    </row>
    <row r="163" spans="1:7" ht="13.9" customHeight="1" x14ac:dyDescent="0.2">
      <c r="A163" s="298" t="s">
        <v>432</v>
      </c>
      <c r="B163" s="17" t="s">
        <v>50</v>
      </c>
      <c r="C163" s="297">
        <v>6</v>
      </c>
      <c r="D163" s="296">
        <v>70</v>
      </c>
      <c r="E163" s="15">
        <f t="shared" si="1"/>
        <v>11.666666666666666</v>
      </c>
      <c r="G163" s="9"/>
    </row>
    <row r="164" spans="1:7" ht="13.15" customHeight="1" x14ac:dyDescent="0.2">
      <c r="A164" s="16" t="s">
        <v>93</v>
      </c>
      <c r="B164" s="17" t="s">
        <v>50</v>
      </c>
      <c r="C164" s="297">
        <v>2</v>
      </c>
      <c r="D164" s="296">
        <v>12</v>
      </c>
      <c r="E164" s="15">
        <f t="shared" si="1"/>
        <v>6</v>
      </c>
    </row>
    <row r="165" spans="1:7" x14ac:dyDescent="0.2">
      <c r="A165" s="16" t="s">
        <v>69</v>
      </c>
      <c r="B165" s="17" t="s">
        <v>10</v>
      </c>
      <c r="C165" s="297">
        <v>8</v>
      </c>
      <c r="D165" s="296">
        <v>33</v>
      </c>
      <c r="E165" s="15">
        <f t="shared" si="1"/>
        <v>4.125</v>
      </c>
    </row>
    <row r="166" spans="1:7" s="1" customFormat="1" x14ac:dyDescent="0.2">
      <c r="A166" s="2" t="s">
        <v>11</v>
      </c>
      <c r="B166" s="3" t="s">
        <v>10</v>
      </c>
      <c r="C166" s="297">
        <v>4</v>
      </c>
      <c r="D166" s="296">
        <v>32</v>
      </c>
      <c r="E166" s="15">
        <f t="shared" si="1"/>
        <v>8</v>
      </c>
      <c r="F166" s="37"/>
      <c r="G166" s="37"/>
    </row>
    <row r="167" spans="1:7" x14ac:dyDescent="0.2">
      <c r="A167" s="16" t="s">
        <v>33</v>
      </c>
      <c r="B167" s="17" t="s">
        <v>50</v>
      </c>
      <c r="C167" s="297">
        <v>2</v>
      </c>
      <c r="D167" s="296">
        <v>12</v>
      </c>
      <c r="E167" s="15">
        <f t="shared" si="1"/>
        <v>6</v>
      </c>
    </row>
    <row r="168" spans="1:7" ht="13.15" customHeight="1" x14ac:dyDescent="0.2">
      <c r="A168" s="16" t="s">
        <v>63</v>
      </c>
      <c r="B168" s="17" t="s">
        <v>51</v>
      </c>
      <c r="C168" s="297">
        <v>2</v>
      </c>
      <c r="D168" s="296">
        <v>22</v>
      </c>
      <c r="E168" s="15">
        <f t="shared" si="1"/>
        <v>11</v>
      </c>
    </row>
    <row r="169" spans="1:7" ht="13.5" thickBot="1" x14ac:dyDescent="0.25">
      <c r="A169" s="16" t="s">
        <v>5</v>
      </c>
      <c r="B169" s="17" t="s">
        <v>6</v>
      </c>
      <c r="C169" s="419">
        <f>E44+E45</f>
        <v>3</v>
      </c>
      <c r="D169" s="18">
        <f>+SUM(E157:E168)</f>
        <v>111.45833333333334</v>
      </c>
      <c r="E169" s="18">
        <f t="shared" ref="E169" si="2">C169*D169</f>
        <v>334.375</v>
      </c>
    </row>
    <row r="170" spans="1:7" ht="13.5" thickBot="1" x14ac:dyDescent="0.25">
      <c r="D170" s="115" t="s">
        <v>184</v>
      </c>
      <c r="E170" s="286">
        <f>$B$54</f>
        <v>0.45477272727272722</v>
      </c>
      <c r="F170" s="116">
        <f>E169*E170</f>
        <v>152.06463068181816</v>
      </c>
    </row>
    <row r="171" spans="1:7" ht="11.25" customHeight="1" x14ac:dyDescent="0.2"/>
    <row r="172" spans="1:7" ht="13.9" customHeight="1" x14ac:dyDescent="0.2">
      <c r="A172" s="9" t="s">
        <v>187</v>
      </c>
    </row>
    <row r="173" spans="1:7" ht="11.25" customHeight="1" thickBot="1" x14ac:dyDescent="0.25"/>
    <row r="174" spans="1:7" ht="24.75" thickBot="1" x14ac:dyDescent="0.25">
      <c r="A174" s="57" t="s">
        <v>64</v>
      </c>
      <c r="B174" s="58" t="s">
        <v>65</v>
      </c>
      <c r="C174" s="248" t="s">
        <v>245</v>
      </c>
      <c r="D174" s="59" t="s">
        <v>223</v>
      </c>
      <c r="E174" s="59" t="s">
        <v>66</v>
      </c>
      <c r="F174" s="60" t="s">
        <v>67</v>
      </c>
    </row>
    <row r="175" spans="1:7" x14ac:dyDescent="0.2">
      <c r="A175" s="13" t="s">
        <v>68</v>
      </c>
      <c r="B175" s="14" t="s">
        <v>10</v>
      </c>
      <c r="C175" s="300">
        <f>C157</f>
        <v>12</v>
      </c>
      <c r="D175" s="15">
        <f>+D157</f>
        <v>150</v>
      </c>
      <c r="E175" s="15">
        <f>IFERROR(D175/C175,0)</f>
        <v>12.5</v>
      </c>
    </row>
    <row r="176" spans="1:7" x14ac:dyDescent="0.2">
      <c r="A176" s="16" t="s">
        <v>30</v>
      </c>
      <c r="B176" s="17" t="s">
        <v>10</v>
      </c>
      <c r="C176" s="300">
        <f>C158</f>
        <v>4</v>
      </c>
      <c r="D176" s="18">
        <f>+D158</f>
        <v>60</v>
      </c>
      <c r="E176" s="15">
        <f t="shared" ref="E176:E180" si="3">IFERROR(D176/C176,0)</f>
        <v>15</v>
      </c>
    </row>
    <row r="177" spans="1:7" x14ac:dyDescent="0.2">
      <c r="A177" s="16" t="s">
        <v>31</v>
      </c>
      <c r="B177" s="17" t="s">
        <v>10</v>
      </c>
      <c r="C177" s="300">
        <f>C160</f>
        <v>3</v>
      </c>
      <c r="D177" s="18">
        <f>+D160</f>
        <v>38</v>
      </c>
      <c r="E177" s="15">
        <f t="shared" si="3"/>
        <v>12.666666666666666</v>
      </c>
    </row>
    <row r="178" spans="1:7" x14ac:dyDescent="0.2">
      <c r="A178" s="16" t="s">
        <v>431</v>
      </c>
      <c r="B178" s="17" t="s">
        <v>50</v>
      </c>
      <c r="C178" s="300">
        <f>C163</f>
        <v>6</v>
      </c>
      <c r="D178" s="18">
        <f>+D163</f>
        <v>70</v>
      </c>
      <c r="E178" s="15">
        <f t="shared" si="3"/>
        <v>11.666666666666666</v>
      </c>
    </row>
    <row r="179" spans="1:7" x14ac:dyDescent="0.2">
      <c r="A179" s="16" t="s">
        <v>69</v>
      </c>
      <c r="B179" s="17" t="s">
        <v>10</v>
      </c>
      <c r="C179" s="300">
        <f>C165</f>
        <v>8</v>
      </c>
      <c r="D179" s="18">
        <f>+D165</f>
        <v>33</v>
      </c>
      <c r="E179" s="15">
        <f t="shared" si="3"/>
        <v>4.125</v>
      </c>
      <c r="G179" s="9"/>
    </row>
    <row r="180" spans="1:7" x14ac:dyDescent="0.2">
      <c r="A180" s="16" t="s">
        <v>63</v>
      </c>
      <c r="B180" s="17" t="s">
        <v>51</v>
      </c>
      <c r="C180" s="300">
        <f>C168</f>
        <v>2</v>
      </c>
      <c r="D180" s="18">
        <f>+D168</f>
        <v>22</v>
      </c>
      <c r="E180" s="15">
        <f t="shared" si="3"/>
        <v>11</v>
      </c>
      <c r="G180" s="9"/>
    </row>
    <row r="181" spans="1:7" ht="13.5" thickBot="1" x14ac:dyDescent="0.25">
      <c r="A181" s="16" t="s">
        <v>5</v>
      </c>
      <c r="B181" s="17" t="s">
        <v>6</v>
      </c>
      <c r="C181" s="419">
        <f>E46</f>
        <v>1</v>
      </c>
      <c r="D181" s="18">
        <f>+SUM(E175:E180)</f>
        <v>66.958333333333329</v>
      </c>
      <c r="E181" s="18">
        <f t="shared" ref="E181" si="4">C181*D181</f>
        <v>66.958333333333329</v>
      </c>
      <c r="G181" s="9"/>
    </row>
    <row r="182" spans="1:7" ht="13.5" thickBot="1" x14ac:dyDescent="0.25">
      <c r="D182" s="115" t="s">
        <v>184</v>
      </c>
      <c r="E182" s="286">
        <f>E101</f>
        <v>0.48886363636363628</v>
      </c>
      <c r="F182" s="116">
        <f>E181*E182</f>
        <v>32.733494318181812</v>
      </c>
      <c r="G182" s="9"/>
    </row>
    <row r="183" spans="1:7" ht="11.25" customHeight="1" thickBot="1" x14ac:dyDescent="0.25">
      <c r="G183" s="9"/>
    </row>
    <row r="184" spans="1:7" ht="13.5" thickBot="1" x14ac:dyDescent="0.25">
      <c r="A184" s="24" t="s">
        <v>188</v>
      </c>
      <c r="B184" s="28"/>
      <c r="C184" s="28"/>
      <c r="D184" s="29"/>
      <c r="E184" s="30"/>
      <c r="F184" s="21">
        <f>+F170+F182</f>
        <v>184.79812499999997</v>
      </c>
      <c r="G184" s="9"/>
    </row>
    <row r="185" spans="1:7" ht="11.25" customHeight="1" x14ac:dyDescent="0.2">
      <c r="G185" s="9"/>
    </row>
    <row r="186" spans="1:7" x14ac:dyDescent="0.2">
      <c r="A186" s="11" t="s">
        <v>56</v>
      </c>
      <c r="G186" s="9"/>
    </row>
    <row r="187" spans="1:7" ht="11.25" customHeight="1" x14ac:dyDescent="0.2">
      <c r="B187" s="100"/>
      <c r="G187" s="9"/>
    </row>
    <row r="188" spans="1:7" x14ac:dyDescent="0.2">
      <c r="A188" s="7" t="s">
        <v>348</v>
      </c>
      <c r="G188" s="9"/>
    </row>
    <row r="189" spans="1:7" ht="11.25" customHeight="1" x14ac:dyDescent="0.2">
      <c r="G189" s="9"/>
    </row>
    <row r="190" spans="1:7" ht="13.5" thickBot="1" x14ac:dyDescent="0.25">
      <c r="A190" s="100" t="s">
        <v>48</v>
      </c>
      <c r="G190" s="9"/>
    </row>
    <row r="191" spans="1:7" ht="13.5" thickBot="1" x14ac:dyDescent="0.25">
      <c r="A191" s="57" t="s">
        <v>64</v>
      </c>
      <c r="B191" s="58" t="s">
        <v>65</v>
      </c>
      <c r="C191" s="58" t="s">
        <v>42</v>
      </c>
      <c r="D191" s="59" t="s">
        <v>223</v>
      </c>
      <c r="E191" s="59" t="s">
        <v>66</v>
      </c>
      <c r="F191" s="60" t="s">
        <v>67</v>
      </c>
      <c r="G191" s="9"/>
    </row>
    <row r="192" spans="1:7" x14ac:dyDescent="0.2">
      <c r="A192" s="13" t="s">
        <v>102</v>
      </c>
      <c r="B192" s="14" t="s">
        <v>10</v>
      </c>
      <c r="C192" s="14">
        <v>1</v>
      </c>
      <c r="D192" s="82">
        <v>250000</v>
      </c>
      <c r="E192" s="15">
        <f>C192*D192</f>
        <v>250000</v>
      </c>
      <c r="G192" s="9"/>
    </row>
    <row r="193" spans="1:10" x14ac:dyDescent="0.2">
      <c r="A193" s="16" t="s">
        <v>99</v>
      </c>
      <c r="B193" s="17" t="s">
        <v>100</v>
      </c>
      <c r="C193" s="81">
        <v>10</v>
      </c>
      <c r="D193" s="78"/>
      <c r="E193" s="18"/>
      <c r="G193" s="9"/>
    </row>
    <row r="194" spans="1:10" x14ac:dyDescent="0.2">
      <c r="A194" s="16" t="s">
        <v>201</v>
      </c>
      <c r="B194" s="17" t="s">
        <v>100</v>
      </c>
      <c r="C194" s="81">
        <v>0</v>
      </c>
      <c r="D194" s="18"/>
      <c r="E194" s="18"/>
      <c r="F194" s="20"/>
      <c r="I194" s="80"/>
      <c r="J194" s="80"/>
    </row>
    <row r="195" spans="1:10" x14ac:dyDescent="0.2">
      <c r="A195" s="16" t="s">
        <v>101</v>
      </c>
      <c r="B195" s="17" t="s">
        <v>2</v>
      </c>
      <c r="C195" s="131">
        <f>IFERROR(VLOOKUP(C193,'13. Depr'!A3:B17,2,FALSE),0)</f>
        <v>65.180000000000007</v>
      </c>
      <c r="D195" s="18">
        <f>E192</f>
        <v>250000</v>
      </c>
      <c r="E195" s="18">
        <f>C195*D195/100</f>
        <v>162950.00000000003</v>
      </c>
    </row>
    <row r="196" spans="1:10" ht="13.5" thickBot="1" x14ac:dyDescent="0.25">
      <c r="A196" s="255" t="s">
        <v>52</v>
      </c>
      <c r="B196" s="256" t="s">
        <v>8</v>
      </c>
      <c r="C196" s="256">
        <f>C193*12</f>
        <v>120</v>
      </c>
      <c r="D196" s="257">
        <f>IF(C194&lt;=C193,E195,0)</f>
        <v>162950.00000000003</v>
      </c>
      <c r="E196" s="257">
        <f>IFERROR(D196/C196,0)</f>
        <v>1357.916666666667</v>
      </c>
    </row>
    <row r="197" spans="1:10" ht="13.5" thickTop="1" x14ac:dyDescent="0.2">
      <c r="A197" s="277" t="s">
        <v>349</v>
      </c>
      <c r="B197" s="14" t="s">
        <v>10</v>
      </c>
      <c r="C197" s="14">
        <f>C192</f>
        <v>1</v>
      </c>
      <c r="D197" s="82">
        <v>120000</v>
      </c>
      <c r="E197" s="15">
        <f>C197*D197</f>
        <v>120000</v>
      </c>
      <c r="G197" s="9"/>
    </row>
    <row r="198" spans="1:10" x14ac:dyDescent="0.2">
      <c r="A198" s="298" t="s">
        <v>99</v>
      </c>
      <c r="B198" s="17" t="s">
        <v>100</v>
      </c>
      <c r="C198" s="81">
        <v>10</v>
      </c>
      <c r="D198" s="18"/>
      <c r="E198" s="18"/>
    </row>
    <row r="199" spans="1:10" x14ac:dyDescent="0.2">
      <c r="A199" s="298" t="s">
        <v>350</v>
      </c>
      <c r="B199" s="17" t="s">
        <v>100</v>
      </c>
      <c r="C199" s="81">
        <v>0</v>
      </c>
      <c r="D199" s="18"/>
      <c r="E199" s="18"/>
      <c r="F199" s="20"/>
      <c r="I199" s="80"/>
      <c r="J199" s="80"/>
    </row>
    <row r="200" spans="1:10" x14ac:dyDescent="0.2">
      <c r="A200" s="298" t="s">
        <v>101</v>
      </c>
      <c r="B200" s="17" t="s">
        <v>2</v>
      </c>
      <c r="C200" s="132">
        <f>IFERROR(VLOOKUP(C198,'13. Depr'!A3:B17,2,FALSE),0)</f>
        <v>65.180000000000007</v>
      </c>
      <c r="D200" s="18">
        <f>E197</f>
        <v>120000</v>
      </c>
      <c r="E200" s="18">
        <f>C200*D200/100</f>
        <v>78216.000000000015</v>
      </c>
    </row>
    <row r="201" spans="1:10" x14ac:dyDescent="0.2">
      <c r="A201" s="96" t="s">
        <v>351</v>
      </c>
      <c r="B201" s="97" t="s">
        <v>8</v>
      </c>
      <c r="C201" s="97">
        <f>C198*12</f>
        <v>120</v>
      </c>
      <c r="D201" s="98">
        <f>IF(C199&lt;=C198,E200,0)</f>
        <v>78216.000000000015</v>
      </c>
      <c r="E201" s="98">
        <f>IFERROR(D201/C201,0)</f>
        <v>651.80000000000007</v>
      </c>
    </row>
    <row r="202" spans="1:10" x14ac:dyDescent="0.2">
      <c r="A202" s="96" t="s">
        <v>373</v>
      </c>
      <c r="B202" s="97" t="s">
        <v>8</v>
      </c>
      <c r="C202" s="97">
        <v>1</v>
      </c>
      <c r="D202" s="98">
        <f>IF(C200&lt;=C199,E201,0)</f>
        <v>0</v>
      </c>
      <c r="E202" s="98">
        <f>(E196+E201)*0.1</f>
        <v>200.97166666666672</v>
      </c>
    </row>
    <row r="203" spans="1:10" x14ac:dyDescent="0.2">
      <c r="A203" s="109" t="s">
        <v>248</v>
      </c>
      <c r="B203" s="110"/>
      <c r="C203" s="110"/>
      <c r="D203" s="111"/>
      <c r="E203" s="112">
        <f>E196+E201+E202</f>
        <v>2210.688333333334</v>
      </c>
    </row>
    <row r="204" spans="1:10" ht="13.5" thickBot="1" x14ac:dyDescent="0.25">
      <c r="A204" s="96" t="s">
        <v>249</v>
      </c>
      <c r="B204" s="97" t="s">
        <v>10</v>
      </c>
      <c r="C204" s="81">
        <v>1</v>
      </c>
      <c r="D204" s="98">
        <f>E203</f>
        <v>2210.688333333334</v>
      </c>
      <c r="E204" s="112">
        <f>C204*D204</f>
        <v>2210.688333333334</v>
      </c>
    </row>
    <row r="205" spans="1:10" ht="13.5" thickBot="1" x14ac:dyDescent="0.25">
      <c r="A205" s="253"/>
      <c r="B205" s="253"/>
      <c r="C205" s="253"/>
      <c r="D205" s="115" t="s">
        <v>184</v>
      </c>
      <c r="E205" s="286">
        <f>E142</f>
        <v>0.48886363636363628</v>
      </c>
      <c r="F205" s="21">
        <f>E204*E205</f>
        <v>1080.7251375000001</v>
      </c>
    </row>
    <row r="206" spans="1:10" ht="11.25" customHeight="1" x14ac:dyDescent="0.2"/>
    <row r="207" spans="1:10" ht="13.5" thickBot="1" x14ac:dyDescent="0.25">
      <c r="A207" s="100" t="s">
        <v>106</v>
      </c>
    </row>
    <row r="208" spans="1:10" ht="13.5" thickBot="1" x14ac:dyDescent="0.25">
      <c r="A208" s="102" t="s">
        <v>64</v>
      </c>
      <c r="B208" s="103" t="s">
        <v>65</v>
      </c>
      <c r="C208" s="103" t="s">
        <v>42</v>
      </c>
      <c r="D208" s="59" t="s">
        <v>223</v>
      </c>
      <c r="E208" s="104" t="s">
        <v>66</v>
      </c>
      <c r="F208" s="60" t="s">
        <v>67</v>
      </c>
      <c r="I208" s="80"/>
      <c r="J208" s="80"/>
    </row>
    <row r="209" spans="1:10" x14ac:dyDescent="0.2">
      <c r="A209" s="16" t="s">
        <v>105</v>
      </c>
      <c r="B209" s="17" t="s">
        <v>10</v>
      </c>
      <c r="C209" s="14">
        <v>1</v>
      </c>
      <c r="D209" s="18">
        <f>D192</f>
        <v>250000</v>
      </c>
      <c r="E209" s="18">
        <f>C209*D209</f>
        <v>250000</v>
      </c>
      <c r="F209" s="20"/>
      <c r="I209" s="80"/>
      <c r="J209" s="80"/>
    </row>
    <row r="210" spans="1:10" x14ac:dyDescent="0.2">
      <c r="A210" s="16" t="s">
        <v>204</v>
      </c>
      <c r="B210" s="17" t="s">
        <v>2</v>
      </c>
      <c r="C210" s="83">
        <v>10</v>
      </c>
      <c r="D210" s="18"/>
      <c r="E210" s="18"/>
      <c r="F210" s="20"/>
      <c r="I210" s="80"/>
      <c r="J210" s="80"/>
    </row>
    <row r="211" spans="1:10" x14ac:dyDescent="0.2">
      <c r="A211" s="16" t="s">
        <v>202</v>
      </c>
      <c r="B211" s="17" t="s">
        <v>35</v>
      </c>
      <c r="C211" s="137">
        <f>IFERROR(IF(C194&lt;=C193,E192-(C195/(100*C193)*C194)*E192,E192-E195),0)</f>
        <v>250000</v>
      </c>
      <c r="D211" s="18"/>
      <c r="E211" s="18"/>
      <c r="F211" s="20"/>
      <c r="I211" s="80"/>
      <c r="J211" s="80"/>
    </row>
    <row r="212" spans="1:10" x14ac:dyDescent="0.2">
      <c r="A212" s="16" t="s">
        <v>108</v>
      </c>
      <c r="B212" s="17" t="s">
        <v>35</v>
      </c>
      <c r="C212" s="78">
        <f>IFERROR(IF(C194&gt;=C193,C211,((((C211)-(E192-E195))*(((C193-C194)+1)/(2*(C193-C194))))+(E192-E195))),0)</f>
        <v>176672.5</v>
      </c>
      <c r="D212" s="18"/>
      <c r="E212" s="18"/>
      <c r="F212" s="20"/>
      <c r="I212" s="80"/>
      <c r="J212" s="80"/>
    </row>
    <row r="213" spans="1:10" ht="13.5" thickBot="1" x14ac:dyDescent="0.25">
      <c r="A213" s="255" t="s">
        <v>109</v>
      </c>
      <c r="B213" s="256" t="s">
        <v>35</v>
      </c>
      <c r="C213" s="256"/>
      <c r="D213" s="258">
        <f>C210*C212/12/100</f>
        <v>1472.2708333333335</v>
      </c>
      <c r="E213" s="257">
        <f>D213</f>
        <v>1472.2708333333335</v>
      </c>
      <c r="F213" s="20"/>
      <c r="I213" s="80"/>
      <c r="J213" s="80"/>
    </row>
    <row r="214" spans="1:10" ht="13.5" thickTop="1" x14ac:dyDescent="0.2">
      <c r="A214" s="277" t="s">
        <v>349</v>
      </c>
      <c r="B214" s="14" t="s">
        <v>10</v>
      </c>
      <c r="C214" s="14">
        <f>C197</f>
        <v>1</v>
      </c>
      <c r="D214" s="15">
        <f>D197</f>
        <v>120000</v>
      </c>
      <c r="E214" s="15">
        <f>C214*D214</f>
        <v>120000</v>
      </c>
      <c r="F214" s="20"/>
      <c r="I214" s="80"/>
      <c r="J214" s="80"/>
    </row>
    <row r="215" spans="1:10" x14ac:dyDescent="0.2">
      <c r="A215" s="298" t="s">
        <v>204</v>
      </c>
      <c r="B215" s="17" t="s">
        <v>2</v>
      </c>
      <c r="C215" s="421">
        <f>C210</f>
        <v>10</v>
      </c>
      <c r="D215" s="18"/>
      <c r="E215" s="18"/>
      <c r="F215" s="20"/>
      <c r="I215" s="80"/>
      <c r="J215" s="80"/>
    </row>
    <row r="216" spans="1:10" x14ac:dyDescent="0.2">
      <c r="A216" s="16" t="s">
        <v>203</v>
      </c>
      <c r="B216" s="17" t="s">
        <v>35</v>
      </c>
      <c r="C216" s="137">
        <f>IFERROR(IF(C199&lt;=C198,E197-(C200/(100*C198)*C199)*E197,E197-E200),0)</f>
        <v>120000</v>
      </c>
      <c r="D216" s="18"/>
      <c r="E216" s="18"/>
      <c r="F216" s="20"/>
      <c r="I216" s="80"/>
      <c r="J216" s="80"/>
    </row>
    <row r="217" spans="1:10" x14ac:dyDescent="0.2">
      <c r="A217" s="298" t="s">
        <v>370</v>
      </c>
      <c r="B217" s="17" t="s">
        <v>35</v>
      </c>
      <c r="C217" s="78">
        <f>IFERROR(IF(C199&gt;=C198,C216,((((C216)-(E197-E200))*(((C198-C199)+1)/(2*(C198-C199))))+(E197-E200))),0)</f>
        <v>84802.799999999988</v>
      </c>
      <c r="D217" s="18"/>
      <c r="E217" s="18"/>
      <c r="F217" s="20"/>
      <c r="I217" s="80"/>
      <c r="J217" s="80"/>
    </row>
    <row r="218" spans="1:10" x14ac:dyDescent="0.2">
      <c r="A218" s="96" t="s">
        <v>371</v>
      </c>
      <c r="B218" s="97" t="s">
        <v>35</v>
      </c>
      <c r="C218" s="97"/>
      <c r="D218" s="106">
        <f>C215*C217/12/100</f>
        <v>706.68999999999983</v>
      </c>
      <c r="E218" s="98">
        <f>D218</f>
        <v>706.68999999999983</v>
      </c>
      <c r="F218" s="20"/>
      <c r="I218" s="80"/>
      <c r="J218" s="80"/>
    </row>
    <row r="219" spans="1:10" x14ac:dyDescent="0.2">
      <c r="A219" s="96" t="s">
        <v>373</v>
      </c>
      <c r="B219" s="97" t="s">
        <v>8</v>
      </c>
      <c r="C219" s="97">
        <v>1</v>
      </c>
      <c r="D219" s="98"/>
      <c r="E219" s="98">
        <f>(E213+E218)*0.1</f>
        <v>217.89608333333337</v>
      </c>
      <c r="F219" s="20"/>
      <c r="I219" s="80"/>
      <c r="J219" s="80"/>
    </row>
    <row r="220" spans="1:10" x14ac:dyDescent="0.2">
      <c r="A220" s="109" t="s">
        <v>248</v>
      </c>
      <c r="B220" s="110"/>
      <c r="C220" s="110"/>
      <c r="D220" s="111"/>
      <c r="E220" s="112">
        <f>E213+E218+E219</f>
        <v>2396.8569166666671</v>
      </c>
      <c r="F220" s="20"/>
      <c r="G220" s="321"/>
      <c r="I220" s="80"/>
      <c r="J220" s="80"/>
    </row>
    <row r="221" spans="1:10" ht="13.5" thickBot="1" x14ac:dyDescent="0.25">
      <c r="A221" s="96" t="s">
        <v>249</v>
      </c>
      <c r="B221" s="97" t="s">
        <v>10</v>
      </c>
      <c r="C221" s="17">
        <f>C204</f>
        <v>1</v>
      </c>
      <c r="D221" s="98">
        <f>E220</f>
        <v>2396.8569166666671</v>
      </c>
      <c r="E221" s="112">
        <f>C221*D221</f>
        <v>2396.8569166666671</v>
      </c>
      <c r="F221" s="20"/>
      <c r="I221" s="80"/>
      <c r="J221" s="80"/>
    </row>
    <row r="222" spans="1:10" ht="13.5" thickBot="1" x14ac:dyDescent="0.25">
      <c r="C222" s="19"/>
      <c r="D222" s="115" t="s">
        <v>184</v>
      </c>
      <c r="E222" s="286">
        <f>E205</f>
        <v>0.48886363636363628</v>
      </c>
      <c r="F222" s="21">
        <f>E221*E222</f>
        <v>1171.7361881249999</v>
      </c>
      <c r="I222" s="80"/>
      <c r="J222" s="80"/>
    </row>
    <row r="223" spans="1:10" ht="11.25" customHeight="1" x14ac:dyDescent="0.2">
      <c r="I223" s="80"/>
      <c r="J223" s="80"/>
    </row>
    <row r="224" spans="1:10" ht="13.5" thickBot="1" x14ac:dyDescent="0.25">
      <c r="A224" s="9" t="s">
        <v>53</v>
      </c>
      <c r="I224" s="80"/>
      <c r="J224" s="80"/>
    </row>
    <row r="225" spans="1:10" ht="13.5" thickBot="1" x14ac:dyDescent="0.25">
      <c r="A225" s="57" t="s">
        <v>64</v>
      </c>
      <c r="B225" s="58" t="s">
        <v>65</v>
      </c>
      <c r="C225" s="58" t="s">
        <v>42</v>
      </c>
      <c r="D225" s="59" t="s">
        <v>223</v>
      </c>
      <c r="E225" s="59" t="s">
        <v>66</v>
      </c>
      <c r="F225" s="60" t="s">
        <v>67</v>
      </c>
      <c r="I225" s="80"/>
      <c r="J225" s="80"/>
    </row>
    <row r="226" spans="1:10" x14ac:dyDescent="0.2">
      <c r="A226" s="13" t="s">
        <v>12</v>
      </c>
      <c r="B226" s="14" t="s">
        <v>10</v>
      </c>
      <c r="C226" s="15">
        <f>C204</f>
        <v>1</v>
      </c>
      <c r="D226" s="15">
        <f>0.01*($C$211)</f>
        <v>2500</v>
      </c>
      <c r="E226" s="15">
        <f>C226*D226</f>
        <v>2500</v>
      </c>
      <c r="I226" s="80"/>
      <c r="J226" s="80"/>
    </row>
    <row r="227" spans="1:10" x14ac:dyDescent="0.2">
      <c r="A227" s="16" t="s">
        <v>183</v>
      </c>
      <c r="B227" s="17" t="s">
        <v>10</v>
      </c>
      <c r="C227" s="15">
        <f>C204</f>
        <v>1</v>
      </c>
      <c r="D227" s="84">
        <v>94.7</v>
      </c>
      <c r="E227" s="18">
        <f>C227*D227</f>
        <v>94.7</v>
      </c>
      <c r="I227" s="80"/>
      <c r="J227" s="80"/>
    </row>
    <row r="228" spans="1:10" x14ac:dyDescent="0.2">
      <c r="A228" s="16" t="s">
        <v>13</v>
      </c>
      <c r="B228" s="17" t="s">
        <v>10</v>
      </c>
      <c r="C228" s="15">
        <f>C204</f>
        <v>1</v>
      </c>
      <c r="D228" s="84">
        <v>3000</v>
      </c>
      <c r="E228" s="18">
        <f>C228*D228</f>
        <v>3000</v>
      </c>
      <c r="F228" s="31"/>
      <c r="I228" s="80"/>
      <c r="J228" s="80"/>
    </row>
    <row r="229" spans="1:10" ht="13.5" thickBot="1" x14ac:dyDescent="0.25">
      <c r="A229" s="96" t="s">
        <v>14</v>
      </c>
      <c r="B229" s="97" t="s">
        <v>8</v>
      </c>
      <c r="C229" s="97">
        <v>12</v>
      </c>
      <c r="D229" s="98">
        <f>SUM(E226:E228)</f>
        <v>5594.7</v>
      </c>
      <c r="E229" s="98">
        <f>D229/C229</f>
        <v>466.22499999999997</v>
      </c>
      <c r="I229" s="80"/>
      <c r="J229" s="80"/>
    </row>
    <row r="230" spans="1:10" ht="13.5" thickBot="1" x14ac:dyDescent="0.25">
      <c r="D230" s="115" t="s">
        <v>184</v>
      </c>
      <c r="E230" s="286">
        <f>E222</f>
        <v>0.48886363636363628</v>
      </c>
      <c r="F230" s="116">
        <f>E229*E230</f>
        <v>227.9204488636363</v>
      </c>
      <c r="I230" s="80"/>
      <c r="J230" s="80"/>
    </row>
    <row r="231" spans="1:10" ht="11.25" customHeight="1" x14ac:dyDescent="0.2">
      <c r="I231" s="80"/>
      <c r="J231" s="80"/>
    </row>
    <row r="232" spans="1:10" x14ac:dyDescent="0.2">
      <c r="A232" s="9" t="s">
        <v>54</v>
      </c>
      <c r="B232" s="32"/>
      <c r="I232" s="80"/>
      <c r="J232" s="80"/>
    </row>
    <row r="233" spans="1:10" x14ac:dyDescent="0.2">
      <c r="B233" s="32"/>
      <c r="I233" s="80"/>
      <c r="J233" s="80"/>
    </row>
    <row r="234" spans="1:10" x14ac:dyDescent="0.2">
      <c r="A234" s="96" t="s">
        <v>111</v>
      </c>
      <c r="B234" s="304">
        <f>'12. Roteiros'!BK41</f>
        <v>1179.322117142857</v>
      </c>
      <c r="I234" s="80"/>
      <c r="J234" s="80"/>
    </row>
    <row r="235" spans="1:10" ht="13.5" thickBot="1" x14ac:dyDescent="0.25">
      <c r="B235" s="32"/>
      <c r="I235" s="80"/>
      <c r="J235" s="80"/>
    </row>
    <row r="236" spans="1:10" ht="13.5" thickBot="1" x14ac:dyDescent="0.25">
      <c r="A236" s="57" t="s">
        <v>64</v>
      </c>
      <c r="B236" s="58" t="s">
        <v>65</v>
      </c>
      <c r="C236" s="58" t="s">
        <v>247</v>
      </c>
      <c r="D236" s="59" t="s">
        <v>223</v>
      </c>
      <c r="E236" s="59" t="s">
        <v>66</v>
      </c>
      <c r="F236" s="60" t="s">
        <v>67</v>
      </c>
      <c r="I236" s="80"/>
      <c r="J236" s="80"/>
    </row>
    <row r="237" spans="1:10" x14ac:dyDescent="0.2">
      <c r="A237" s="13" t="s">
        <v>15</v>
      </c>
      <c r="B237" s="14" t="s">
        <v>16</v>
      </c>
      <c r="C237" s="91">
        <v>2.1</v>
      </c>
      <c r="D237" s="82">
        <v>6.07</v>
      </c>
      <c r="E237" s="15"/>
      <c r="I237" s="80"/>
      <c r="J237" s="80"/>
    </row>
    <row r="238" spans="1:10" x14ac:dyDescent="0.2">
      <c r="A238" s="16" t="s">
        <v>17</v>
      </c>
      <c r="B238" s="17" t="s">
        <v>18</v>
      </c>
      <c r="C238" s="89">
        <f>B234</f>
        <v>1179.322117142857</v>
      </c>
      <c r="D238" s="252">
        <f>IFERROR(+D237/C237,"-")</f>
        <v>2.8904761904761904</v>
      </c>
      <c r="E238" s="18">
        <f>IFERROR(C238*D238,"-")</f>
        <v>3408.802500503401</v>
      </c>
      <c r="I238" s="80"/>
      <c r="J238" s="80"/>
    </row>
    <row r="239" spans="1:10" x14ac:dyDescent="0.2">
      <c r="A239" s="16" t="s">
        <v>224</v>
      </c>
      <c r="B239" s="17" t="s">
        <v>19</v>
      </c>
      <c r="C239" s="93">
        <v>1.33</v>
      </c>
      <c r="D239" s="84">
        <v>20</v>
      </c>
      <c r="E239" s="18"/>
      <c r="G239" s="105"/>
      <c r="I239" s="80"/>
      <c r="J239" s="80"/>
    </row>
    <row r="240" spans="1:10" x14ac:dyDescent="0.2">
      <c r="A240" s="16" t="s">
        <v>20</v>
      </c>
      <c r="B240" s="17" t="s">
        <v>18</v>
      </c>
      <c r="C240" s="89">
        <f>C238</f>
        <v>1179.322117142857</v>
      </c>
      <c r="D240" s="249">
        <f>+C239*D239/1000</f>
        <v>2.6600000000000002E-2</v>
      </c>
      <c r="E240" s="18">
        <f>C240*D240</f>
        <v>31.369968315999998</v>
      </c>
      <c r="G240" s="105"/>
      <c r="I240" s="80"/>
      <c r="J240" s="80"/>
    </row>
    <row r="241" spans="1:10" x14ac:dyDescent="0.2">
      <c r="A241" s="16" t="s">
        <v>225</v>
      </c>
      <c r="B241" s="17" t="s">
        <v>19</v>
      </c>
      <c r="C241" s="93">
        <v>0.18</v>
      </c>
      <c r="D241" s="84">
        <v>26</v>
      </c>
      <c r="E241" s="18"/>
      <c r="G241" s="105"/>
      <c r="I241" s="80"/>
      <c r="J241" s="80"/>
    </row>
    <row r="242" spans="1:10" x14ac:dyDescent="0.2">
      <c r="A242" s="16" t="s">
        <v>21</v>
      </c>
      <c r="B242" s="17" t="s">
        <v>18</v>
      </c>
      <c r="C242" s="89">
        <f>C238</f>
        <v>1179.322117142857</v>
      </c>
      <c r="D242" s="249">
        <f>+C241*D241/1000</f>
        <v>4.6800000000000001E-3</v>
      </c>
      <c r="E242" s="18">
        <f>C242*D242</f>
        <v>5.5192275082285711</v>
      </c>
      <c r="G242" s="105"/>
      <c r="I242" s="80"/>
      <c r="J242" s="80"/>
    </row>
    <row r="243" spans="1:10" x14ac:dyDescent="0.2">
      <c r="A243" s="16" t="s">
        <v>226</v>
      </c>
      <c r="B243" s="17" t="s">
        <v>19</v>
      </c>
      <c r="C243" s="93">
        <v>2</v>
      </c>
      <c r="D243" s="84">
        <v>22</v>
      </c>
      <c r="E243" s="18"/>
      <c r="G243" s="105"/>
      <c r="I243" s="80"/>
      <c r="J243" s="80"/>
    </row>
    <row r="244" spans="1:10" x14ac:dyDescent="0.2">
      <c r="A244" s="16" t="s">
        <v>22</v>
      </c>
      <c r="B244" s="17" t="s">
        <v>18</v>
      </c>
      <c r="C244" s="89">
        <f>C238</f>
        <v>1179.322117142857</v>
      </c>
      <c r="D244" s="249">
        <f>+C243*D243/1000</f>
        <v>4.3999999999999997E-2</v>
      </c>
      <c r="E244" s="18">
        <f>C244*D244</f>
        <v>51.890173154285705</v>
      </c>
      <c r="G244" s="105"/>
      <c r="I244" s="80"/>
      <c r="J244" s="80"/>
    </row>
    <row r="245" spans="1:10" x14ac:dyDescent="0.2">
      <c r="A245" s="298" t="s">
        <v>369</v>
      </c>
      <c r="B245" s="322" t="s">
        <v>19</v>
      </c>
      <c r="C245" s="331">
        <v>20</v>
      </c>
      <c r="D245" s="309">
        <v>4</v>
      </c>
      <c r="E245" s="306"/>
      <c r="G245" s="105"/>
      <c r="I245" s="80"/>
      <c r="J245" s="80"/>
    </row>
    <row r="246" spans="1:10" x14ac:dyDescent="0.2">
      <c r="A246" s="298" t="s">
        <v>368</v>
      </c>
      <c r="B246" s="322" t="s">
        <v>18</v>
      </c>
      <c r="C246" s="308">
        <f>C240</f>
        <v>1179.322117142857</v>
      </c>
      <c r="D246" s="310">
        <f>+C245*D245/1000</f>
        <v>0.08</v>
      </c>
      <c r="E246" s="306">
        <f>C246*D246</f>
        <v>94.34576937142856</v>
      </c>
      <c r="G246" s="105"/>
      <c r="I246" s="80"/>
      <c r="J246" s="80"/>
    </row>
    <row r="247" spans="1:10" x14ac:dyDescent="0.2">
      <c r="A247" s="16" t="s">
        <v>23</v>
      </c>
      <c r="B247" s="17" t="s">
        <v>24</v>
      </c>
      <c r="C247" s="93">
        <v>1</v>
      </c>
      <c r="D247" s="84">
        <v>20</v>
      </c>
      <c r="E247" s="18"/>
      <c r="G247" s="105"/>
      <c r="I247" s="80"/>
      <c r="J247" s="80"/>
    </row>
    <row r="248" spans="1:10" x14ac:dyDescent="0.2">
      <c r="A248" s="16" t="s">
        <v>25</v>
      </c>
      <c r="B248" s="17" t="s">
        <v>18</v>
      </c>
      <c r="C248" s="89">
        <f>C238</f>
        <v>1179.322117142857</v>
      </c>
      <c r="D248" s="249">
        <f>+C247*D247/1000</f>
        <v>0.02</v>
      </c>
      <c r="E248" s="18">
        <f>C248*D248</f>
        <v>23.58644234285714</v>
      </c>
      <c r="G248" s="105"/>
      <c r="I248" s="80"/>
      <c r="J248" s="80"/>
    </row>
    <row r="249" spans="1:10" ht="13.5" thickBot="1" x14ac:dyDescent="0.25">
      <c r="A249" s="96" t="s">
        <v>246</v>
      </c>
      <c r="B249" s="97" t="s">
        <v>112</v>
      </c>
      <c r="C249" s="250"/>
      <c r="D249" s="251">
        <f>IFERROR(D238+D240+D242+D244+D248,0)</f>
        <v>2.9857561904761907</v>
      </c>
      <c r="E249" s="18"/>
      <c r="G249" s="105"/>
      <c r="I249" s="80"/>
      <c r="J249" s="80"/>
    </row>
    <row r="250" spans="1:10" ht="13.5" thickBot="1" x14ac:dyDescent="0.25">
      <c r="F250" s="21">
        <f>SUM(E237:E248)</f>
        <v>3615.5140811962006</v>
      </c>
      <c r="I250" s="80"/>
      <c r="J250" s="80"/>
    </row>
    <row r="251" spans="1:10" ht="11.25" customHeight="1" x14ac:dyDescent="0.2">
      <c r="I251" s="80"/>
      <c r="J251" s="80"/>
    </row>
    <row r="252" spans="1:10" ht="13.5" thickBot="1" x14ac:dyDescent="0.25">
      <c r="A252" s="9" t="s">
        <v>55</v>
      </c>
      <c r="I252" s="80"/>
      <c r="J252" s="80"/>
    </row>
    <row r="253" spans="1:10" ht="13.5" thickBot="1" x14ac:dyDescent="0.25">
      <c r="A253" s="57" t="s">
        <v>64</v>
      </c>
      <c r="B253" s="58" t="s">
        <v>65</v>
      </c>
      <c r="C253" s="58" t="s">
        <v>42</v>
      </c>
      <c r="D253" s="59" t="s">
        <v>223</v>
      </c>
      <c r="E253" s="59" t="s">
        <v>66</v>
      </c>
      <c r="F253" s="60" t="s">
        <v>67</v>
      </c>
      <c r="I253" s="80"/>
      <c r="J253" s="80"/>
    </row>
    <row r="254" spans="1:10" ht="13.5" thickBot="1" x14ac:dyDescent="0.25">
      <c r="A254" s="13" t="s">
        <v>110</v>
      </c>
      <c r="B254" s="14" t="s">
        <v>112</v>
      </c>
      <c r="C254" s="18">
        <f>C238</f>
        <v>1179.322117142857</v>
      </c>
      <c r="D254" s="82">
        <v>0.78</v>
      </c>
      <c r="E254" s="15">
        <f>C254*D254</f>
        <v>919.87125137142846</v>
      </c>
      <c r="I254" s="80"/>
      <c r="J254" s="80"/>
    </row>
    <row r="255" spans="1:10" ht="13.5" thickBot="1" x14ac:dyDescent="0.25">
      <c r="F255" s="21">
        <f>E254</f>
        <v>919.87125137142846</v>
      </c>
      <c r="I255" s="80"/>
      <c r="J255" s="80"/>
    </row>
    <row r="256" spans="1:10" ht="11.25" customHeight="1" x14ac:dyDescent="0.2">
      <c r="I256" s="80"/>
      <c r="J256" s="80"/>
    </row>
    <row r="257" spans="1:10" ht="13.5" thickBot="1" x14ac:dyDescent="0.25">
      <c r="A257" s="9" t="s">
        <v>62</v>
      </c>
      <c r="I257" s="80"/>
      <c r="J257" s="80"/>
    </row>
    <row r="258" spans="1:10" ht="13.5" thickBot="1" x14ac:dyDescent="0.25">
      <c r="A258" s="57" t="s">
        <v>64</v>
      </c>
      <c r="B258" s="58" t="s">
        <v>65</v>
      </c>
      <c r="C258" s="58" t="s">
        <v>42</v>
      </c>
      <c r="D258" s="59" t="s">
        <v>223</v>
      </c>
      <c r="E258" s="59" t="s">
        <v>66</v>
      </c>
      <c r="F258" s="60" t="s">
        <v>67</v>
      </c>
      <c r="I258" s="80"/>
      <c r="J258" s="80"/>
    </row>
    <row r="259" spans="1:10" x14ac:dyDescent="0.2">
      <c r="A259" s="277" t="s">
        <v>367</v>
      </c>
      <c r="B259" s="14" t="s">
        <v>10</v>
      </c>
      <c r="C259" s="90">
        <v>6</v>
      </c>
      <c r="D259" s="82">
        <v>2500</v>
      </c>
      <c r="E259" s="15">
        <f>C259*D259</f>
        <v>15000</v>
      </c>
      <c r="I259" s="80"/>
      <c r="J259" s="80"/>
    </row>
    <row r="260" spans="1:10" x14ac:dyDescent="0.2">
      <c r="A260" s="13" t="s">
        <v>113</v>
      </c>
      <c r="B260" s="14" t="s">
        <v>10</v>
      </c>
      <c r="C260" s="90">
        <v>2</v>
      </c>
      <c r="D260" s="99"/>
      <c r="E260" s="15"/>
      <c r="I260" s="80"/>
      <c r="J260" s="80"/>
    </row>
    <row r="261" spans="1:10" x14ac:dyDescent="0.2">
      <c r="A261" s="13" t="s">
        <v>71</v>
      </c>
      <c r="B261" s="14" t="s">
        <v>10</v>
      </c>
      <c r="C261" s="15">
        <f>C259*C260</f>
        <v>12</v>
      </c>
      <c r="D261" s="82">
        <v>650</v>
      </c>
      <c r="E261" s="15">
        <f>C261*D261</f>
        <v>7800</v>
      </c>
      <c r="I261" s="80"/>
      <c r="J261" s="80"/>
    </row>
    <row r="262" spans="1:10" x14ac:dyDescent="0.2">
      <c r="A262" s="16" t="s">
        <v>94</v>
      </c>
      <c r="B262" s="17" t="s">
        <v>26</v>
      </c>
      <c r="C262" s="92">
        <v>80000</v>
      </c>
      <c r="D262" s="18">
        <f>E259+E261</f>
        <v>22800</v>
      </c>
      <c r="E262" s="18">
        <f>IFERROR(D262/C262,"-")</f>
        <v>0.28499999999999998</v>
      </c>
      <c r="I262" s="80"/>
      <c r="J262" s="80"/>
    </row>
    <row r="263" spans="1:10" ht="13.5" thickBot="1" x14ac:dyDescent="0.25">
      <c r="A263" s="16" t="s">
        <v>57</v>
      </c>
      <c r="B263" s="17" t="s">
        <v>18</v>
      </c>
      <c r="C263" s="89">
        <f>B234</f>
        <v>1179.322117142857</v>
      </c>
      <c r="D263" s="18">
        <f>E262</f>
        <v>0.28499999999999998</v>
      </c>
      <c r="E263" s="18">
        <f>IFERROR(C263*D263,0)</f>
        <v>336.10680338571422</v>
      </c>
      <c r="I263" s="80"/>
      <c r="J263" s="80"/>
    </row>
    <row r="264" spans="1:10" ht="13.5" thickBot="1" x14ac:dyDescent="0.25">
      <c r="F264" s="21">
        <f>E263</f>
        <v>336.10680338571422</v>
      </c>
      <c r="I264" s="80"/>
      <c r="J264" s="80"/>
    </row>
    <row r="265" spans="1:10" ht="11.25" customHeight="1" x14ac:dyDescent="0.2">
      <c r="I265" s="80"/>
      <c r="J265" s="80"/>
    </row>
    <row r="266" spans="1:10" ht="11.25" customHeight="1" thickBot="1" x14ac:dyDescent="0.25">
      <c r="G266" s="9"/>
    </row>
    <row r="267" spans="1:10" ht="13.5" thickBot="1" x14ac:dyDescent="0.25">
      <c r="A267" s="24" t="s">
        <v>216</v>
      </c>
      <c r="B267" s="25"/>
      <c r="C267" s="25"/>
      <c r="D267" s="26"/>
      <c r="E267" s="27"/>
      <c r="F267" s="21">
        <f>+SUM(F192:F266)</f>
        <v>7351.8739104419801</v>
      </c>
      <c r="G267" s="9"/>
    </row>
    <row r="268" spans="1:10" ht="11.25" customHeight="1" x14ac:dyDescent="0.2">
      <c r="G268" s="9"/>
    </row>
    <row r="269" spans="1:10" x14ac:dyDescent="0.2">
      <c r="A269" s="11" t="s">
        <v>385</v>
      </c>
      <c r="B269" s="11"/>
      <c r="C269" s="11"/>
      <c r="D269" s="34"/>
      <c r="E269" s="34"/>
      <c r="F269" s="33"/>
      <c r="G269" s="9"/>
    </row>
    <row r="270" spans="1:10" ht="11.25" customHeight="1" thickBot="1" x14ac:dyDescent="0.25">
      <c r="G270" s="9"/>
    </row>
    <row r="271" spans="1:10" ht="13.5" thickBot="1" x14ac:dyDescent="0.25">
      <c r="A271" s="57" t="s">
        <v>64</v>
      </c>
      <c r="B271" s="58" t="s">
        <v>65</v>
      </c>
      <c r="C271" s="58" t="s">
        <v>42</v>
      </c>
      <c r="D271" s="59" t="s">
        <v>223</v>
      </c>
      <c r="E271" s="59" t="s">
        <v>66</v>
      </c>
      <c r="F271" s="60" t="s">
        <v>67</v>
      </c>
      <c r="G271" s="9"/>
    </row>
    <row r="272" spans="1:10" x14ac:dyDescent="0.2">
      <c r="A272" s="16" t="s">
        <v>72</v>
      </c>
      <c r="B272" s="17" t="s">
        <v>10</v>
      </c>
      <c r="C272" s="94">
        <v>0.16666666666666666</v>
      </c>
      <c r="D272" s="82">
        <v>45</v>
      </c>
      <c r="E272" s="18">
        <f t="shared" ref="E272:E274" si="5">C272*D272</f>
        <v>7.5</v>
      </c>
      <c r="F272" s="52"/>
      <c r="G272" s="9"/>
    </row>
    <row r="273" spans="1:7" x14ac:dyDescent="0.2">
      <c r="A273" s="16" t="s">
        <v>28</v>
      </c>
      <c r="B273" s="17" t="s">
        <v>10</v>
      </c>
      <c r="C273" s="94">
        <v>0.16666666666666666</v>
      </c>
      <c r="D273" s="82">
        <v>30</v>
      </c>
      <c r="E273" s="18">
        <f t="shared" si="5"/>
        <v>5</v>
      </c>
      <c r="F273" s="52"/>
      <c r="G273" s="9"/>
    </row>
    <row r="274" spans="1:7" ht="13.5" thickBot="1" x14ac:dyDescent="0.25">
      <c r="A274" s="16" t="s">
        <v>29</v>
      </c>
      <c r="B274" s="17" t="s">
        <v>10</v>
      </c>
      <c r="C274" s="94">
        <v>0.16666666666666666</v>
      </c>
      <c r="D274" s="82">
        <v>32</v>
      </c>
      <c r="E274" s="18">
        <f t="shared" si="5"/>
        <v>5.333333333333333</v>
      </c>
      <c r="F274" s="52"/>
      <c r="G274" s="9"/>
    </row>
    <row r="275" spans="1:7" ht="13.5" thickBot="1" x14ac:dyDescent="0.25">
      <c r="A275" s="11"/>
      <c r="B275" s="11"/>
      <c r="C275" s="11"/>
      <c r="D275" s="11"/>
      <c r="E275" s="34"/>
      <c r="F275" s="21">
        <f>SUM(E272:E274)</f>
        <v>17.833333333333332</v>
      </c>
      <c r="G275" s="9"/>
    </row>
    <row r="276" spans="1:7" ht="11.25" customHeight="1" thickBot="1" x14ac:dyDescent="0.25">
      <c r="G276" s="9"/>
    </row>
    <row r="277" spans="1:7" ht="13.5" thickBot="1" x14ac:dyDescent="0.25">
      <c r="A277" s="24" t="s">
        <v>217</v>
      </c>
      <c r="B277" s="25"/>
      <c r="C277" s="25"/>
      <c r="D277" s="26"/>
      <c r="E277" s="27"/>
      <c r="F277" s="21">
        <f>+F275</f>
        <v>17.833333333333332</v>
      </c>
      <c r="G277" s="9"/>
    </row>
    <row r="278" spans="1:7" ht="11.25" customHeight="1" x14ac:dyDescent="0.2">
      <c r="G278" s="9"/>
    </row>
    <row r="279" spans="1:7" ht="13.15" customHeight="1" x14ac:dyDescent="0.2">
      <c r="A279" s="11" t="s">
        <v>382</v>
      </c>
      <c r="B279" s="11"/>
      <c r="C279" s="11"/>
      <c r="D279" s="34"/>
      <c r="E279" s="34"/>
      <c r="F279" s="33"/>
      <c r="G279" s="9"/>
    </row>
    <row r="280" spans="1:7" ht="11.25" customHeight="1" thickBot="1" x14ac:dyDescent="0.25">
      <c r="G280" s="9"/>
    </row>
    <row r="281" spans="1:7" ht="13.9" customHeight="1" thickBot="1" x14ac:dyDescent="0.25">
      <c r="A281" s="57" t="s">
        <v>64</v>
      </c>
      <c r="B281" s="58" t="s">
        <v>65</v>
      </c>
      <c r="C281" s="58" t="s">
        <v>42</v>
      </c>
      <c r="D281" s="59" t="s">
        <v>223</v>
      </c>
      <c r="E281" s="59" t="s">
        <v>66</v>
      </c>
      <c r="F281" s="60" t="s">
        <v>67</v>
      </c>
      <c r="G281" s="9"/>
    </row>
    <row r="282" spans="1:7" ht="13.9" hidden="1" customHeight="1" x14ac:dyDescent="0.2">
      <c r="A282" s="298" t="s">
        <v>380</v>
      </c>
      <c r="B282" s="51" t="s">
        <v>10</v>
      </c>
      <c r="C282" s="66"/>
      <c r="D282" s="84">
        <v>500</v>
      </c>
      <c r="E282" s="18">
        <f>+D282*C282</f>
        <v>0</v>
      </c>
      <c r="F282" s="52"/>
      <c r="G282" s="9"/>
    </row>
    <row r="283" spans="1:7" ht="13.9" hidden="1" customHeight="1" x14ac:dyDescent="0.2">
      <c r="A283" s="298" t="s">
        <v>379</v>
      </c>
      <c r="B283" s="51" t="s">
        <v>10</v>
      </c>
      <c r="C283" s="17"/>
      <c r="D283" s="84">
        <v>150</v>
      </c>
      <c r="E283" s="18">
        <f t="shared" ref="E283:E287" si="6">+D283*C283</f>
        <v>0</v>
      </c>
      <c r="F283" s="52"/>
      <c r="G283" s="9"/>
    </row>
    <row r="284" spans="1:7" ht="13.9" hidden="1" customHeight="1" x14ac:dyDescent="0.2">
      <c r="A284" s="298" t="s">
        <v>381</v>
      </c>
      <c r="B284" s="17" t="s">
        <v>10</v>
      </c>
      <c r="C284" s="66"/>
      <c r="D284" s="84">
        <v>200</v>
      </c>
      <c r="E284" s="18">
        <f t="shared" si="6"/>
        <v>0</v>
      </c>
      <c r="F284" s="52"/>
      <c r="G284" s="9"/>
    </row>
    <row r="285" spans="1:7" ht="13.9" customHeight="1" x14ac:dyDescent="0.2">
      <c r="A285" s="298" t="s">
        <v>411</v>
      </c>
      <c r="B285" s="322" t="s">
        <v>10</v>
      </c>
      <c r="C285" s="330">
        <v>1</v>
      </c>
      <c r="D285" s="82">
        <v>130</v>
      </c>
      <c r="E285" s="18">
        <f t="shared" ref="E285:E286" si="7">C285*D285</f>
        <v>130</v>
      </c>
      <c r="F285" s="52"/>
      <c r="G285" s="9"/>
    </row>
    <row r="286" spans="1:7" ht="13.9" customHeight="1" x14ac:dyDescent="0.2">
      <c r="A286" s="298" t="s">
        <v>354</v>
      </c>
      <c r="B286" s="322" t="s">
        <v>10</v>
      </c>
      <c r="C286" s="94">
        <v>8.3333333333333329E-2</v>
      </c>
      <c r="D286" s="82">
        <v>150</v>
      </c>
      <c r="E286" s="18">
        <f t="shared" si="7"/>
        <v>12.5</v>
      </c>
      <c r="F286" s="52"/>
      <c r="G286" s="9"/>
    </row>
    <row r="287" spans="1:7" ht="13.9" customHeight="1" thickBot="1" x14ac:dyDescent="0.25">
      <c r="A287" s="298" t="s">
        <v>437</v>
      </c>
      <c r="B287" s="51" t="s">
        <v>344</v>
      </c>
      <c r="C287" s="17">
        <v>40</v>
      </c>
      <c r="D287" s="84">
        <v>2.4</v>
      </c>
      <c r="E287" s="18">
        <f t="shared" si="6"/>
        <v>96</v>
      </c>
      <c r="F287" s="52"/>
      <c r="G287" s="9"/>
    </row>
    <row r="288" spans="1:7" ht="13.9" customHeight="1" thickBot="1" x14ac:dyDescent="0.25">
      <c r="A288" s="12"/>
      <c r="B288" s="12"/>
      <c r="C288" s="12"/>
      <c r="D288" s="115" t="s">
        <v>184</v>
      </c>
      <c r="E288" s="286">
        <v>1</v>
      </c>
      <c r="F288" s="21">
        <f>SUM(E282:E287)</f>
        <v>238.5</v>
      </c>
      <c r="G288" s="9"/>
    </row>
    <row r="289" spans="1:7" ht="11.25" customHeight="1" x14ac:dyDescent="0.2">
      <c r="G289" s="9"/>
    </row>
    <row r="290" spans="1:7" x14ac:dyDescent="0.2">
      <c r="A290" s="11" t="s">
        <v>383</v>
      </c>
      <c r="B290" s="11"/>
      <c r="C290" s="11"/>
      <c r="D290" s="34"/>
      <c r="E290" s="34"/>
      <c r="F290" s="33"/>
    </row>
    <row r="291" spans="1:7" ht="11.25" customHeight="1" thickBot="1" x14ac:dyDescent="0.25"/>
    <row r="292" spans="1:7" ht="13.5" thickBot="1" x14ac:dyDescent="0.25">
      <c r="A292" s="57" t="s">
        <v>64</v>
      </c>
      <c r="B292" s="58" t="s">
        <v>65</v>
      </c>
      <c r="C292" s="58" t="s">
        <v>42</v>
      </c>
      <c r="D292" s="59" t="s">
        <v>223</v>
      </c>
      <c r="E292" s="59" t="s">
        <v>66</v>
      </c>
      <c r="F292" s="60" t="s">
        <v>67</v>
      </c>
    </row>
    <row r="293" spans="1:7" x14ac:dyDescent="0.2">
      <c r="A293" s="298" t="s">
        <v>214</v>
      </c>
      <c r="B293" s="51" t="s">
        <v>59</v>
      </c>
      <c r="C293" s="66">
        <v>1</v>
      </c>
      <c r="D293" s="84">
        <v>600</v>
      </c>
      <c r="E293" s="18">
        <f>+D293*C293</f>
        <v>600</v>
      </c>
      <c r="F293" s="52"/>
    </row>
    <row r="294" spans="1:7" x14ac:dyDescent="0.2">
      <c r="A294" s="16" t="s">
        <v>61</v>
      </c>
      <c r="B294" s="51" t="s">
        <v>8</v>
      </c>
      <c r="C294" s="17">
        <v>60</v>
      </c>
      <c r="D294" s="77">
        <f>SUM(E293:E293)</f>
        <v>600</v>
      </c>
      <c r="E294" s="77">
        <f>+D294/C294</f>
        <v>10</v>
      </c>
      <c r="F294" s="52"/>
    </row>
    <row r="295" spans="1:7" x14ac:dyDescent="0.2">
      <c r="A295" s="16" t="s">
        <v>215</v>
      </c>
      <c r="B295" s="17" t="s">
        <v>10</v>
      </c>
      <c r="C295" s="66">
        <f>+C293</f>
        <v>1</v>
      </c>
      <c r="D295" s="84">
        <v>110</v>
      </c>
      <c r="E295" s="18">
        <f>C295*D295</f>
        <v>110</v>
      </c>
      <c r="F295" s="52"/>
    </row>
    <row r="296" spans="1:7" ht="13.5" thickBot="1" x14ac:dyDescent="0.25">
      <c r="A296" s="16" t="s">
        <v>39</v>
      </c>
      <c r="B296" s="51" t="s">
        <v>8</v>
      </c>
      <c r="C296" s="17">
        <v>1</v>
      </c>
      <c r="D296" s="77">
        <f>+E295</f>
        <v>110</v>
      </c>
      <c r="E296" s="77">
        <f>+D296/C296</f>
        <v>110</v>
      </c>
      <c r="F296" s="52"/>
    </row>
    <row r="297" spans="1:7" ht="13.5" thickBot="1" x14ac:dyDescent="0.25">
      <c r="A297" s="12"/>
      <c r="B297" s="12"/>
      <c r="C297" s="12"/>
      <c r="D297" s="115" t="s">
        <v>184</v>
      </c>
      <c r="E297" s="286">
        <f>E230</f>
        <v>0.48886363636363628</v>
      </c>
      <c r="F297" s="21">
        <f>(E294+E296)*E297</f>
        <v>58.663636363636357</v>
      </c>
    </row>
    <row r="298" spans="1:7" s="50" customFormat="1" ht="11.25" customHeight="1" thickBot="1" x14ac:dyDescent="0.25">
      <c r="A298" s="9"/>
      <c r="B298" s="9"/>
      <c r="C298" s="9"/>
      <c r="D298" s="10"/>
      <c r="E298" s="10"/>
      <c r="F298" s="10"/>
      <c r="G298" s="79"/>
    </row>
    <row r="299" spans="1:7" ht="13.5" thickBot="1" x14ac:dyDescent="0.25">
      <c r="A299" s="24" t="s">
        <v>213</v>
      </c>
      <c r="B299" s="25"/>
      <c r="C299" s="25"/>
      <c r="D299" s="26"/>
      <c r="E299" s="27"/>
      <c r="F299" s="21">
        <f>+F297</f>
        <v>58.663636363636357</v>
      </c>
    </row>
    <row r="300" spans="1:7" ht="11.25" customHeight="1" thickBot="1" x14ac:dyDescent="0.25"/>
    <row r="301" spans="1:7" ht="17.25" customHeight="1" thickBot="1" x14ac:dyDescent="0.25">
      <c r="A301" s="24" t="s">
        <v>218</v>
      </c>
      <c r="B301" s="28"/>
      <c r="C301" s="28"/>
      <c r="D301" s="29"/>
      <c r="E301" s="30"/>
      <c r="F301" s="22">
        <f>+F150+F184+F267+F277+F299+F288</f>
        <v>17082.976729839887</v>
      </c>
    </row>
    <row r="302" spans="1:7" ht="11.25" customHeight="1" x14ac:dyDescent="0.2"/>
    <row r="303" spans="1:7" x14ac:dyDescent="0.2">
      <c r="A303" s="11" t="s">
        <v>384</v>
      </c>
    </row>
    <row r="304" spans="1:7" ht="11.25" customHeight="1" thickBot="1" x14ac:dyDescent="0.25"/>
    <row r="305" spans="1:7" ht="13.5" thickBot="1" x14ac:dyDescent="0.25">
      <c r="A305" s="57" t="s">
        <v>64</v>
      </c>
      <c r="B305" s="58" t="s">
        <v>65</v>
      </c>
      <c r="C305" s="58" t="s">
        <v>42</v>
      </c>
      <c r="D305" s="59" t="s">
        <v>223</v>
      </c>
      <c r="E305" s="59" t="s">
        <v>66</v>
      </c>
      <c r="F305" s="60" t="s">
        <v>67</v>
      </c>
    </row>
    <row r="306" spans="1:7" ht="13.5" thickBot="1" x14ac:dyDescent="0.25">
      <c r="A306" s="13" t="s">
        <v>38</v>
      </c>
      <c r="B306" s="14" t="s">
        <v>2</v>
      </c>
      <c r="C306" s="131">
        <f>'8.BDI'!C21*100</f>
        <v>27.21</v>
      </c>
      <c r="D306" s="15">
        <f>+F301</f>
        <v>17082.976729839887</v>
      </c>
      <c r="E306" s="15">
        <f>C306*D306/100</f>
        <v>4648.2779681894335</v>
      </c>
    </row>
    <row r="307" spans="1:7" ht="13.5" thickBot="1" x14ac:dyDescent="0.25">
      <c r="F307" s="21">
        <f>+E306</f>
        <v>4648.2779681894335</v>
      </c>
    </row>
    <row r="308" spans="1:7" ht="11.25" customHeight="1" thickBot="1" x14ac:dyDescent="0.25"/>
    <row r="309" spans="1:7" ht="13.5" thickBot="1" x14ac:dyDescent="0.25">
      <c r="A309" s="24" t="s">
        <v>228</v>
      </c>
      <c r="B309" s="28"/>
      <c r="C309" s="28"/>
      <c r="D309" s="29"/>
      <c r="E309" s="30"/>
      <c r="F309" s="22">
        <f>F307</f>
        <v>4648.2779681894335</v>
      </c>
    </row>
    <row r="310" spans="1:7" x14ac:dyDescent="0.2">
      <c r="A310" s="11"/>
      <c r="B310" s="11"/>
      <c r="C310" s="11"/>
      <c r="D310" s="34"/>
      <c r="E310" s="34"/>
      <c r="F310" s="33"/>
    </row>
    <row r="311" spans="1:7" ht="11.25" customHeight="1" thickBot="1" x14ac:dyDescent="0.25"/>
    <row r="312" spans="1:7" ht="24.75" customHeight="1" thickBot="1" x14ac:dyDescent="0.25">
      <c r="A312" s="24" t="s">
        <v>219</v>
      </c>
      <c r="B312" s="28"/>
      <c r="C312" s="28"/>
      <c r="D312" s="29"/>
      <c r="E312" s="30"/>
      <c r="F312" s="22">
        <f>F301+F309</f>
        <v>21731.254698029319</v>
      </c>
    </row>
    <row r="313" spans="1:7" ht="12.6" customHeight="1" x14ac:dyDescent="0.2">
      <c r="A313" s="53"/>
      <c r="B313" s="53"/>
      <c r="C313" s="53"/>
      <c r="D313" s="54"/>
      <c r="E313" s="54"/>
      <c r="F313" s="54"/>
    </row>
    <row r="314" spans="1:7" ht="14.25" hidden="1" x14ac:dyDescent="0.2">
      <c r="A314" s="8"/>
      <c r="B314" s="8"/>
      <c r="C314" s="8"/>
      <c r="D314" s="35"/>
      <c r="E314" s="35"/>
    </row>
    <row r="315" spans="1:7" ht="16.149999999999999" hidden="1" customHeight="1" x14ac:dyDescent="0.2">
      <c r="A315" s="230" t="s">
        <v>212</v>
      </c>
      <c r="B315" s="231"/>
      <c r="C315" s="231"/>
      <c r="D315" s="232"/>
      <c r="E315" s="233" t="s">
        <v>27</v>
      </c>
      <c r="G315" s="10" t="s">
        <v>193</v>
      </c>
    </row>
    <row r="316" spans="1:7" hidden="1" x14ac:dyDescent="0.2"/>
    <row r="317" spans="1:7" ht="25.5" hidden="1" customHeight="1" thickBot="1" x14ac:dyDescent="0.25">
      <c r="A317" s="24" t="s">
        <v>70</v>
      </c>
      <c r="B317" s="25"/>
      <c r="C317" s="25"/>
      <c r="D317" s="26"/>
      <c r="E317" s="234" t="s">
        <v>34</v>
      </c>
      <c r="F317" s="235" t="str">
        <f>IFERROR(F312/D315,"-")</f>
        <v>-</v>
      </c>
      <c r="G317" s="10" t="s">
        <v>193</v>
      </c>
    </row>
    <row r="318" spans="1:7" ht="12.6" hidden="1" customHeight="1" x14ac:dyDescent="0.2">
      <c r="A318" s="11"/>
      <c r="B318" s="11"/>
      <c r="C318" s="11"/>
      <c r="D318" s="34"/>
      <c r="E318" s="34"/>
      <c r="F318" s="34"/>
    </row>
    <row r="319" spans="1:7" s="4" customFormat="1" ht="9.75" hidden="1" customHeight="1" x14ac:dyDescent="0.2">
      <c r="A319" s="38"/>
      <c r="B319" s="10"/>
      <c r="C319" s="10"/>
      <c r="D319" s="10"/>
      <c r="E319" s="10"/>
      <c r="F319" s="10"/>
      <c r="G319" s="6"/>
    </row>
    <row r="320" spans="1:7" s="4" customFormat="1" ht="9.75" hidden="1" customHeight="1" x14ac:dyDescent="0.2">
      <c r="A320" s="38"/>
      <c r="B320" s="10"/>
      <c r="C320" s="10"/>
      <c r="D320" s="10"/>
      <c r="E320" s="10"/>
      <c r="F320" s="10"/>
      <c r="G320" s="6"/>
    </row>
    <row r="321" spans="1:7" s="4" customFormat="1" ht="9.75" hidden="1" customHeight="1" x14ac:dyDescent="0.2">
      <c r="A321" s="38"/>
      <c r="B321" s="10"/>
      <c r="C321" s="10"/>
      <c r="D321" s="10"/>
      <c r="E321" s="10"/>
      <c r="F321" s="10"/>
      <c r="G321" s="6"/>
    </row>
    <row r="322" spans="1:7" x14ac:dyDescent="0.2">
      <c r="F322" s="43"/>
    </row>
    <row r="323" spans="1:7" x14ac:dyDescent="0.2">
      <c r="F323" s="332"/>
    </row>
    <row r="351" spans="4:7" ht="9" customHeight="1" x14ac:dyDescent="0.2">
      <c r="D351" s="9"/>
      <c r="E351" s="9"/>
      <c r="F351" s="9"/>
      <c r="G351" s="9"/>
    </row>
  </sheetData>
  <mergeCells count="7">
    <mergeCell ref="A50:D50"/>
    <mergeCell ref="A12:F12"/>
    <mergeCell ref="A13:F13"/>
    <mergeCell ref="A15:F15"/>
    <mergeCell ref="A26:C26"/>
    <mergeCell ref="A42:E42"/>
    <mergeCell ref="A43:D43"/>
  </mergeCells>
  <hyperlinks>
    <hyperlink ref="A207" location="AbaRemun" display="3.1.2. Remuneração do Capital"/>
    <hyperlink ref="A190" location="AbaDeprec" display="3.1.1. Depreciação"/>
  </hyperlinks>
  <pageMargins left="0.9055118110236221" right="0.51181102362204722" top="0.74803149606299213" bottom="0.74803149606299213" header="0.31496062992125984" footer="0.31496062992125984"/>
  <pageSetup paperSize="9" scale="75" fitToHeight="4" orientation="portrait" r:id="rId1"/>
  <headerFooter alignWithMargins="0">
    <oddFooter>&amp;R&amp;P de &amp;N</oddFooter>
  </headerFooter>
  <rowBreaks count="2" manualBreakCount="2">
    <brk id="123" max="5" man="1"/>
    <brk id="20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2"/>
  <sheetViews>
    <sheetView showGridLines="0" topLeftCell="A81" zoomScaleSheetLayoutView="100" workbookViewId="0">
      <selection activeCell="A15" sqref="A15"/>
    </sheetView>
  </sheetViews>
  <sheetFormatPr defaultColWidth="9.140625" defaultRowHeight="12.75" x14ac:dyDescent="0.2"/>
  <cols>
    <col min="1" max="1" width="46.42578125" style="341" customWidth="1"/>
    <col min="2" max="2" width="9.42578125" style="341" bestFit="1" customWidth="1"/>
    <col min="3" max="3" width="10.7109375" style="341" bestFit="1" customWidth="1"/>
    <col min="4" max="4" width="13.140625" style="305" bestFit="1" customWidth="1"/>
    <col min="5" max="5" width="14" style="305" customWidth="1"/>
    <col min="6" max="6" width="19.28515625" style="305" customWidth="1"/>
    <col min="7" max="7" width="28.140625" style="305" customWidth="1"/>
    <col min="8" max="8" width="11.28515625" style="341" bestFit="1" customWidth="1"/>
    <col min="9" max="9" width="14.5703125" style="341" customWidth="1"/>
    <col min="10" max="10" width="13.42578125" style="341" customWidth="1"/>
    <col min="11" max="16384" width="9.140625" style="341"/>
  </cols>
  <sheetData>
    <row r="1" spans="1:7" ht="15.75" hidden="1" x14ac:dyDescent="0.2">
      <c r="A1" s="439" t="s">
        <v>191</v>
      </c>
    </row>
    <row r="2" spans="1:7" ht="15.75" hidden="1" x14ac:dyDescent="0.2">
      <c r="A2" s="440" t="s">
        <v>276</v>
      </c>
    </row>
    <row r="3" spans="1:7" ht="15.75" hidden="1" x14ac:dyDescent="0.2">
      <c r="A3" s="440" t="s">
        <v>277</v>
      </c>
    </row>
    <row r="4" spans="1:7" ht="15.75" hidden="1" x14ac:dyDescent="0.2">
      <c r="A4" s="440" t="s">
        <v>279</v>
      </c>
    </row>
    <row r="5" spans="1:7" ht="15.75" hidden="1" x14ac:dyDescent="0.2">
      <c r="A5" s="439" t="s">
        <v>273</v>
      </c>
    </row>
    <row r="6" spans="1:7" ht="15" hidden="1" x14ac:dyDescent="0.2">
      <c r="A6" s="441" t="s">
        <v>278</v>
      </c>
    </row>
    <row r="7" spans="1:7" ht="15.75" hidden="1" x14ac:dyDescent="0.2">
      <c r="A7" s="440" t="s">
        <v>281</v>
      </c>
    </row>
    <row r="8" spans="1:7" ht="7.15" hidden="1" customHeight="1" x14ac:dyDescent="0.2"/>
    <row r="9" spans="1:7" ht="18.75" thickBot="1" x14ac:dyDescent="0.25">
      <c r="A9" s="442" t="s">
        <v>472</v>
      </c>
    </row>
    <row r="10" spans="1:7" ht="18" x14ac:dyDescent="0.2">
      <c r="A10" s="605" t="s">
        <v>484</v>
      </c>
      <c r="B10" s="606"/>
      <c r="C10" s="606"/>
      <c r="D10" s="606"/>
      <c r="E10" s="606"/>
      <c r="F10" s="607"/>
    </row>
    <row r="11" spans="1:7" s="343" customFormat="1" ht="15" x14ac:dyDescent="0.2">
      <c r="A11" s="608" t="s">
        <v>45</v>
      </c>
      <c r="B11" s="609"/>
      <c r="C11" s="609"/>
      <c r="D11" s="609"/>
      <c r="E11" s="609"/>
      <c r="F11" s="610"/>
      <c r="G11" s="35"/>
    </row>
    <row r="12" spans="1:7" ht="10.9" customHeight="1" thickBot="1" x14ac:dyDescent="0.25">
      <c r="A12" s="344"/>
      <c r="B12" s="342"/>
      <c r="C12" s="342"/>
      <c r="D12" s="140"/>
      <c r="E12" s="140"/>
      <c r="F12" s="141"/>
      <c r="G12" s="6"/>
    </row>
    <row r="13" spans="1:7" ht="15.75" customHeight="1" thickBot="1" x14ac:dyDescent="0.25">
      <c r="A13" s="599" t="s">
        <v>190</v>
      </c>
      <c r="B13" s="600"/>
      <c r="C13" s="600"/>
      <c r="D13" s="600"/>
      <c r="E13" s="600"/>
      <c r="F13" s="601"/>
      <c r="G13" s="6"/>
    </row>
    <row r="14" spans="1:7" ht="15.75" customHeight="1" x14ac:dyDescent="0.2">
      <c r="A14" s="61" t="s">
        <v>189</v>
      </c>
      <c r="B14" s="39"/>
      <c r="C14" s="39"/>
      <c r="D14" s="239"/>
      <c r="E14" s="108" t="s">
        <v>40</v>
      </c>
      <c r="F14" s="40" t="s">
        <v>2</v>
      </c>
      <c r="G14" s="6"/>
    </row>
    <row r="15" spans="1:7" s="340" customFormat="1" ht="15.75" customHeight="1" x14ac:dyDescent="0.2">
      <c r="A15" s="117" t="str">
        <f>A34</f>
        <v>1. Mão-de-obra</v>
      </c>
      <c r="B15" s="443"/>
      <c r="C15" s="119"/>
      <c r="D15" s="119"/>
      <c r="E15" s="345">
        <f>+F75</f>
        <v>1963.216049786452</v>
      </c>
      <c r="F15" s="120">
        <f t="shared" ref="F15:F23" si="0">IFERROR(E15/$E$24,0)</f>
        <v>0.30518006041029422</v>
      </c>
      <c r="G15" s="43"/>
    </row>
    <row r="16" spans="1:7" ht="15.75" hidden="1" customHeight="1" x14ac:dyDescent="0.2">
      <c r="A16" s="48" t="str">
        <f>A35</f>
        <v>1.1. Triador</v>
      </c>
      <c r="B16" s="444"/>
      <c r="C16" s="46"/>
      <c r="D16" s="46"/>
      <c r="E16" s="445">
        <f>F43</f>
        <v>0</v>
      </c>
      <c r="F16" s="55">
        <f t="shared" si="0"/>
        <v>0</v>
      </c>
      <c r="G16" s="6"/>
    </row>
    <row r="17" spans="1:8" ht="15.75" customHeight="1" x14ac:dyDescent="0.2">
      <c r="A17" s="48" t="str">
        <f>A45</f>
        <v>1.1. Assistente Administrativo/ Encarregado - CBO 4110</v>
      </c>
      <c r="B17" s="444"/>
      <c r="C17" s="46"/>
      <c r="D17" s="46"/>
      <c r="E17" s="445">
        <f>F53</f>
        <v>1735.8207978384003</v>
      </c>
      <c r="F17" s="55">
        <f t="shared" si="0"/>
        <v>0.26983168561778526</v>
      </c>
      <c r="G17" s="6"/>
    </row>
    <row r="18" spans="1:8" ht="15.75" customHeight="1" x14ac:dyDescent="0.2">
      <c r="A18" s="48" t="str">
        <f>A56</f>
        <v>1.2. Vale Transporte</v>
      </c>
      <c r="B18" s="444"/>
      <c r="C18" s="46"/>
      <c r="D18" s="46"/>
      <c r="E18" s="445">
        <f>F61</f>
        <v>47.706233766233773</v>
      </c>
      <c r="F18" s="55">
        <f t="shared" si="0"/>
        <v>7.4158884878261309E-3</v>
      </c>
      <c r="G18" s="6"/>
    </row>
    <row r="19" spans="1:8" ht="15.75" customHeight="1" x14ac:dyDescent="0.2">
      <c r="A19" s="48" t="str">
        <f>A63</f>
        <v>1.3. Vale-refeição (diário)</v>
      </c>
      <c r="B19" s="444"/>
      <c r="C19" s="46"/>
      <c r="D19" s="46"/>
      <c r="E19" s="446">
        <f>F67</f>
        <v>172.62720000000002</v>
      </c>
      <c r="F19" s="55">
        <f t="shared" si="0"/>
        <v>2.683473341112429E-2</v>
      </c>
      <c r="G19" s="6"/>
    </row>
    <row r="20" spans="1:8" ht="15.75" customHeight="1" x14ac:dyDescent="0.2">
      <c r="A20" s="48" t="str">
        <f>A69</f>
        <v xml:space="preserve">1.4. Plano de Benefício Social  </v>
      </c>
      <c r="B20" s="444"/>
      <c r="C20" s="46"/>
      <c r="D20" s="46"/>
      <c r="E20" s="446">
        <f>F73</f>
        <v>7.0618181818181824</v>
      </c>
      <c r="F20" s="55">
        <f t="shared" si="0"/>
        <v>1.0977528935586128E-3</v>
      </c>
      <c r="G20" s="6"/>
    </row>
    <row r="21" spans="1:8" ht="15.75" customHeight="1" x14ac:dyDescent="0.2">
      <c r="A21" s="117" t="str">
        <f>A77</f>
        <v>2. Uniformes e Equipamentos de Proteção Individual</v>
      </c>
      <c r="B21" s="444"/>
      <c r="C21" s="46"/>
      <c r="D21" s="46"/>
      <c r="E21" s="447">
        <f>F89</f>
        <v>33.757575757575758</v>
      </c>
      <c r="F21" s="120">
        <f t="shared" si="0"/>
        <v>5.2475829189164713E-3</v>
      </c>
      <c r="G21" s="6"/>
    </row>
    <row r="22" spans="1:8" ht="15.75" customHeight="1" x14ac:dyDescent="0.2">
      <c r="A22" s="117" t="str">
        <f>A93</f>
        <v xml:space="preserve">3. Máquinas, equipamentos e instalações e Administração Local </v>
      </c>
      <c r="B22" s="444"/>
      <c r="C22" s="46"/>
      <c r="D22" s="46"/>
      <c r="E22" s="447">
        <f>F99</f>
        <v>3060</v>
      </c>
      <c r="F22" s="120">
        <f t="shared" si="0"/>
        <v>0.47567407823355951</v>
      </c>
      <c r="G22" s="6"/>
    </row>
    <row r="23" spans="1:8" s="340" customFormat="1" ht="15.75" customHeight="1" thickBot="1" x14ac:dyDescent="0.25">
      <c r="A23" s="128" t="str">
        <f>A104</f>
        <v>4. Benefícios e Despesas Indiretas</v>
      </c>
      <c r="B23" s="346"/>
      <c r="C23" s="119"/>
      <c r="D23" s="119"/>
      <c r="E23" s="347">
        <f>+F109</f>
        <v>1376.00252351053</v>
      </c>
      <c r="F23" s="120">
        <f t="shared" si="0"/>
        <v>0.21389827843722978</v>
      </c>
      <c r="G23" s="43"/>
    </row>
    <row r="24" spans="1:8" ht="15.75" customHeight="1" thickBot="1" x14ac:dyDescent="0.25">
      <c r="A24" s="41" t="s">
        <v>485</v>
      </c>
      <c r="B24" s="348"/>
      <c r="C24" s="26"/>
      <c r="D24" s="26"/>
      <c r="E24" s="349">
        <f>E15+E23+E21+E22</f>
        <v>6432.9761490545579</v>
      </c>
      <c r="F24" s="133">
        <f>F15+F23+F21+F22</f>
        <v>1</v>
      </c>
      <c r="G24" s="6"/>
    </row>
    <row r="25" spans="1:8" ht="13.5" thickBot="1" x14ac:dyDescent="0.25"/>
    <row r="26" spans="1:8" ht="15" customHeight="1" thickBot="1" x14ac:dyDescent="0.25">
      <c r="A26" s="599" t="s">
        <v>95</v>
      </c>
      <c r="B26" s="600"/>
      <c r="C26" s="600"/>
      <c r="D26" s="600"/>
      <c r="E26" s="600"/>
      <c r="F26" s="601"/>
      <c r="G26" s="6"/>
    </row>
    <row r="27" spans="1:8" ht="15" customHeight="1" thickBot="1" x14ac:dyDescent="0.25">
      <c r="A27" s="596" t="s">
        <v>41</v>
      </c>
      <c r="B27" s="597"/>
      <c r="C27" s="597"/>
      <c r="D27" s="597"/>
      <c r="E27" s="598"/>
      <c r="F27" s="448" t="s">
        <v>42</v>
      </c>
      <c r="H27" s="6"/>
    </row>
    <row r="28" spans="1:8" ht="15" hidden="1" customHeight="1" x14ac:dyDescent="0.2">
      <c r="A28" s="611" t="str">
        <f>+A35</f>
        <v>1.1. Triador</v>
      </c>
      <c r="B28" s="612"/>
      <c r="C28" s="612"/>
      <c r="D28" s="612"/>
      <c r="E28" s="613"/>
      <c r="F28" s="449">
        <v>0</v>
      </c>
      <c r="H28" s="6"/>
    </row>
    <row r="29" spans="1:8" ht="15" customHeight="1" x14ac:dyDescent="0.2">
      <c r="A29" s="614" t="s">
        <v>486</v>
      </c>
      <c r="B29" s="615"/>
      <c r="C29" s="615"/>
      <c r="D29" s="615"/>
      <c r="E29" s="616"/>
      <c r="F29" s="450">
        <v>1</v>
      </c>
      <c r="H29" s="6"/>
    </row>
    <row r="30" spans="1:8" ht="15" customHeight="1" thickBot="1" x14ac:dyDescent="0.25">
      <c r="A30" s="617" t="s">
        <v>60</v>
      </c>
      <c r="B30" s="618"/>
      <c r="C30" s="618"/>
      <c r="D30" s="618"/>
      <c r="E30" s="619"/>
      <c r="F30" s="451">
        <f>SUM(F28:F29)</f>
        <v>1</v>
      </c>
      <c r="H30" s="6"/>
    </row>
    <row r="31" spans="1:8" ht="13.5" thickBot="1" x14ac:dyDescent="0.25">
      <c r="A31" s="452"/>
      <c r="B31" s="452"/>
      <c r="C31" s="452"/>
      <c r="D31" s="341"/>
      <c r="E31" s="453"/>
      <c r="F31" s="341"/>
      <c r="G31" s="6"/>
      <c r="H31" s="6"/>
    </row>
    <row r="32" spans="1:8" s="340" customFormat="1" ht="15.75" customHeight="1" thickBot="1" x14ac:dyDescent="0.25">
      <c r="A32" s="240" t="s">
        <v>185</v>
      </c>
      <c r="B32" s="285">
        <f>16/44</f>
        <v>0.36363636363636365</v>
      </c>
      <c r="C32" s="34"/>
      <c r="E32" s="142"/>
      <c r="G32" s="43"/>
      <c r="H32" s="43"/>
    </row>
    <row r="33" spans="1:8" ht="15.75" customHeight="1" x14ac:dyDescent="0.2">
      <c r="A33" s="452"/>
      <c r="B33" s="452"/>
      <c r="C33" s="452"/>
      <c r="D33" s="341"/>
      <c r="E33" s="453"/>
      <c r="F33" s="341"/>
      <c r="G33" s="6"/>
      <c r="H33" s="6"/>
    </row>
    <row r="34" spans="1:8" ht="13.15" customHeight="1" x14ac:dyDescent="0.2">
      <c r="A34" s="340" t="s">
        <v>49</v>
      </c>
      <c r="H34" s="305"/>
    </row>
    <row r="35" spans="1:8" ht="13.9" hidden="1" customHeight="1" thickBot="1" x14ac:dyDescent="0.25">
      <c r="A35" s="341" t="s">
        <v>487</v>
      </c>
    </row>
    <row r="36" spans="1:8" ht="13.9" hidden="1" customHeight="1" thickBot="1" x14ac:dyDescent="0.25">
      <c r="A36" s="350" t="s">
        <v>64</v>
      </c>
      <c r="B36" s="351" t="s">
        <v>65</v>
      </c>
      <c r="C36" s="351" t="s">
        <v>42</v>
      </c>
      <c r="D36" s="59" t="s">
        <v>223</v>
      </c>
      <c r="E36" s="59" t="s">
        <v>66</v>
      </c>
      <c r="F36" s="60" t="s">
        <v>67</v>
      </c>
    </row>
    <row r="37" spans="1:8" ht="13.15" hidden="1" customHeight="1" x14ac:dyDescent="0.2">
      <c r="A37" s="352" t="s">
        <v>205</v>
      </c>
      <c r="B37" s="353" t="s">
        <v>8</v>
      </c>
      <c r="C37" s="353">
        <v>1</v>
      </c>
      <c r="D37" s="284"/>
      <c r="E37" s="354">
        <f>C37*D37</f>
        <v>0</v>
      </c>
      <c r="H37" s="454"/>
    </row>
    <row r="38" spans="1:8" hidden="1" x14ac:dyDescent="0.2">
      <c r="A38" s="355" t="s">
        <v>1</v>
      </c>
      <c r="B38" s="356" t="s">
        <v>2</v>
      </c>
      <c r="C38" s="356">
        <v>40</v>
      </c>
      <c r="D38" s="455">
        <f>SUM(E37:E37)</f>
        <v>0</v>
      </c>
      <c r="E38" s="306">
        <f>C38*D38/100</f>
        <v>0</v>
      </c>
    </row>
    <row r="39" spans="1:8" hidden="1" x14ac:dyDescent="0.2">
      <c r="A39" s="456" t="s">
        <v>3</v>
      </c>
      <c r="B39" s="457"/>
      <c r="C39" s="457"/>
      <c r="D39" s="111"/>
      <c r="E39" s="112">
        <f>SUM(E37:E38)</f>
        <v>0</v>
      </c>
    </row>
    <row r="40" spans="1:8" hidden="1" x14ac:dyDescent="0.2">
      <c r="A40" s="355" t="s">
        <v>4</v>
      </c>
      <c r="B40" s="356" t="s">
        <v>2</v>
      </c>
      <c r="C40" s="357">
        <v>69.355340000000012</v>
      </c>
      <c r="D40" s="306">
        <f>E39</f>
        <v>0</v>
      </c>
      <c r="E40" s="306">
        <f>D40*C40/100</f>
        <v>0</v>
      </c>
    </row>
    <row r="41" spans="1:8" hidden="1" x14ac:dyDescent="0.2">
      <c r="A41" s="456" t="s">
        <v>488</v>
      </c>
      <c r="B41" s="457"/>
      <c r="C41" s="457"/>
      <c r="D41" s="111"/>
      <c r="E41" s="112">
        <f>E39+E40</f>
        <v>0</v>
      </c>
    </row>
    <row r="42" spans="1:8" hidden="1" x14ac:dyDescent="0.2">
      <c r="A42" s="355" t="s">
        <v>5</v>
      </c>
      <c r="B42" s="356" t="s">
        <v>6</v>
      </c>
      <c r="C42" s="458">
        <f>F28</f>
        <v>0</v>
      </c>
      <c r="D42" s="306">
        <f>E41</f>
        <v>0</v>
      </c>
      <c r="E42" s="306">
        <f>C42*D42</f>
        <v>0</v>
      </c>
      <c r="G42" s="6"/>
    </row>
    <row r="43" spans="1:8" ht="13.9" hidden="1" customHeight="1" thickBot="1" x14ac:dyDescent="0.25">
      <c r="D43" s="307" t="s">
        <v>355</v>
      </c>
      <c r="E43" s="459">
        <f>$B$32</f>
        <v>0.36363636363636365</v>
      </c>
      <c r="F43" s="116">
        <f>E42*E43</f>
        <v>0</v>
      </c>
      <c r="G43" s="6"/>
    </row>
    <row r="44" spans="1:8" ht="11.25" hidden="1" customHeight="1" x14ac:dyDescent="0.2"/>
    <row r="45" spans="1:8" ht="13.5" thickBot="1" x14ac:dyDescent="0.25">
      <c r="A45" s="341" t="s">
        <v>489</v>
      </c>
    </row>
    <row r="46" spans="1:8" ht="13.5" thickBot="1" x14ac:dyDescent="0.25">
      <c r="A46" s="350" t="s">
        <v>64</v>
      </c>
      <c r="B46" s="351" t="s">
        <v>65</v>
      </c>
      <c r="C46" s="351" t="s">
        <v>42</v>
      </c>
      <c r="D46" s="59" t="s">
        <v>223</v>
      </c>
      <c r="E46" s="59" t="s">
        <v>66</v>
      </c>
      <c r="F46" s="60" t="s">
        <v>67</v>
      </c>
    </row>
    <row r="47" spans="1:8" x14ac:dyDescent="0.2">
      <c r="A47" s="352" t="s">
        <v>205</v>
      </c>
      <c r="B47" s="353" t="s">
        <v>8</v>
      </c>
      <c r="C47" s="460">
        <f>F29</f>
        <v>1</v>
      </c>
      <c r="D47" s="461">
        <v>2013.31</v>
      </c>
      <c r="E47" s="354">
        <f>C47*D47</f>
        <v>2013.31</v>
      </c>
    </row>
    <row r="48" spans="1:8" x14ac:dyDescent="0.2">
      <c r="A48" s="355" t="s">
        <v>1</v>
      </c>
      <c r="B48" s="356" t="s">
        <v>2</v>
      </c>
      <c r="C48" s="356">
        <v>40</v>
      </c>
      <c r="D48" s="455">
        <f>SUM(E44:E47)</f>
        <v>2013.31</v>
      </c>
      <c r="E48" s="306">
        <f>C48*D48/100</f>
        <v>805.32399999999996</v>
      </c>
    </row>
    <row r="49" spans="1:8" x14ac:dyDescent="0.2">
      <c r="A49" s="456" t="s">
        <v>3</v>
      </c>
      <c r="B49" s="457"/>
      <c r="C49" s="457"/>
      <c r="D49" s="111"/>
      <c r="E49" s="112">
        <f>SUM(E47:E48)</f>
        <v>2818.634</v>
      </c>
    </row>
    <row r="50" spans="1:8" x14ac:dyDescent="0.2">
      <c r="A50" s="355" t="s">
        <v>4</v>
      </c>
      <c r="B50" s="356" t="s">
        <v>2</v>
      </c>
      <c r="C50" s="357">
        <f>'6.Enc Sociais'!C38*100</f>
        <v>69.355340000000012</v>
      </c>
      <c r="D50" s="306">
        <f>E49</f>
        <v>2818.634</v>
      </c>
      <c r="E50" s="306">
        <f>D50*C50/100</f>
        <v>1954.8731940556004</v>
      </c>
    </row>
    <row r="51" spans="1:8" x14ac:dyDescent="0.2">
      <c r="A51" s="456" t="s">
        <v>490</v>
      </c>
      <c r="B51" s="457"/>
      <c r="C51" s="457"/>
      <c r="D51" s="111"/>
      <c r="E51" s="112">
        <f>E49+E50</f>
        <v>4773.5071940556008</v>
      </c>
    </row>
    <row r="52" spans="1:8" ht="13.5" thickBot="1" x14ac:dyDescent="0.25">
      <c r="A52" s="355" t="s">
        <v>5</v>
      </c>
      <c r="B52" s="356" t="s">
        <v>6</v>
      </c>
      <c r="C52" s="462">
        <v>1</v>
      </c>
      <c r="D52" s="306">
        <f>E51</f>
        <v>4773.5071940556008</v>
      </c>
      <c r="E52" s="306">
        <f>C52*D52</f>
        <v>4773.5071940556008</v>
      </c>
    </row>
    <row r="53" spans="1:8" ht="13.5" thickBot="1" x14ac:dyDescent="0.25">
      <c r="A53" s="341" t="s">
        <v>562</v>
      </c>
      <c r="D53" s="307" t="s">
        <v>355</v>
      </c>
      <c r="E53" s="334">
        <f>$B$32</f>
        <v>0.36363636363636365</v>
      </c>
      <c r="F53" s="116">
        <f>E52*E53</f>
        <v>1735.8207978384003</v>
      </c>
      <c r="H53" s="463"/>
    </row>
    <row r="54" spans="1:8" x14ac:dyDescent="0.2">
      <c r="D54" s="307"/>
      <c r="E54" s="469"/>
      <c r="H54" s="463"/>
    </row>
    <row r="55" spans="1:8" ht="11.25" customHeight="1" x14ac:dyDescent="0.2"/>
    <row r="56" spans="1:8" ht="13.5" thickBot="1" x14ac:dyDescent="0.25">
      <c r="A56" s="340" t="s">
        <v>491</v>
      </c>
      <c r="B56" s="464"/>
      <c r="D56" s="341"/>
      <c r="E56" s="465"/>
      <c r="G56" s="341"/>
    </row>
    <row r="57" spans="1:8" ht="13.5" thickBot="1" x14ac:dyDescent="0.25">
      <c r="A57" s="350" t="s">
        <v>64</v>
      </c>
      <c r="B57" s="351" t="s">
        <v>65</v>
      </c>
      <c r="C57" s="351" t="s">
        <v>42</v>
      </c>
      <c r="D57" s="59" t="s">
        <v>223</v>
      </c>
      <c r="E57" s="59" t="s">
        <v>66</v>
      </c>
      <c r="F57" s="60" t="s">
        <v>67</v>
      </c>
      <c r="G57" s="341"/>
    </row>
    <row r="58" spans="1:8" x14ac:dyDescent="0.2">
      <c r="A58" s="355" t="s">
        <v>89</v>
      </c>
      <c r="B58" s="356" t="s">
        <v>35</v>
      </c>
      <c r="C58" s="308">
        <v>1</v>
      </c>
      <c r="D58" s="461">
        <v>5.5</v>
      </c>
      <c r="E58" s="306"/>
      <c r="G58" s="341"/>
    </row>
    <row r="59" spans="1:8" x14ac:dyDescent="0.2">
      <c r="A59" s="355" t="s">
        <v>90</v>
      </c>
      <c r="B59" s="356" t="s">
        <v>91</v>
      </c>
      <c r="C59" s="466">
        <v>25</v>
      </c>
      <c r="D59" s="306"/>
      <c r="E59" s="306"/>
      <c r="G59" s="341"/>
    </row>
    <row r="60" spans="1:8" ht="13.5" thickBot="1" x14ac:dyDescent="0.25">
      <c r="A60" s="355" t="s">
        <v>492</v>
      </c>
      <c r="B60" s="356" t="s">
        <v>9</v>
      </c>
      <c r="C60" s="467">
        <v>50</v>
      </c>
      <c r="D60" s="15">
        <f>D58-(E47/42*0.06)</f>
        <v>2.6238428571428574</v>
      </c>
      <c r="E60" s="306">
        <f>IFERROR(C60*D60,"-")</f>
        <v>131.19214285714287</v>
      </c>
      <c r="G60" s="341"/>
    </row>
    <row r="61" spans="1:8" ht="13.5" thickBot="1" x14ac:dyDescent="0.25">
      <c r="D61" s="307" t="s">
        <v>355</v>
      </c>
      <c r="E61" s="334">
        <f>B32</f>
        <v>0.36363636363636365</v>
      </c>
      <c r="F61" s="22">
        <f>E60*E61</f>
        <v>47.706233766233773</v>
      </c>
      <c r="G61" s="341"/>
    </row>
    <row r="62" spans="1:8" ht="11.25" customHeight="1" x14ac:dyDescent="0.2">
      <c r="G62" s="341"/>
    </row>
    <row r="63" spans="1:8" ht="13.5" thickBot="1" x14ac:dyDescent="0.25">
      <c r="A63" s="340" t="s">
        <v>543</v>
      </c>
      <c r="F63" s="23"/>
      <c r="G63" s="341"/>
    </row>
    <row r="64" spans="1:8" ht="13.5" thickBot="1" x14ac:dyDescent="0.25">
      <c r="A64" s="350" t="s">
        <v>64</v>
      </c>
      <c r="B64" s="351" t="s">
        <v>65</v>
      </c>
      <c r="C64" s="351" t="s">
        <v>42</v>
      </c>
      <c r="D64" s="59" t="s">
        <v>223</v>
      </c>
      <c r="E64" s="59" t="s">
        <v>66</v>
      </c>
      <c r="F64" s="60" t="s">
        <v>67</v>
      </c>
      <c r="G64" s="341"/>
    </row>
    <row r="65" spans="1:8" ht="13.5" thickBot="1" x14ac:dyDescent="0.25">
      <c r="A65" s="355" t="str">
        <f>+A60</f>
        <v xml:space="preserve">Assistente </v>
      </c>
      <c r="B65" s="356" t="s">
        <v>10</v>
      </c>
      <c r="C65" s="468">
        <v>9</v>
      </c>
      <c r="D65" s="84">
        <f>23.68*0.81</f>
        <v>19.180800000000001</v>
      </c>
      <c r="E65" s="459">
        <f>C65*D65</f>
        <v>172.62720000000002</v>
      </c>
      <c r="F65" s="23"/>
      <c r="G65" s="341"/>
    </row>
    <row r="66" spans="1:8" ht="13.5" hidden="1" thickBot="1" x14ac:dyDescent="0.25">
      <c r="A66" s="355" t="s">
        <v>494</v>
      </c>
      <c r="B66" s="356" t="s">
        <v>10</v>
      </c>
      <c r="C66" s="468">
        <v>0</v>
      </c>
      <c r="D66" s="309">
        <f>18.2*0.81</f>
        <v>14.742000000000001</v>
      </c>
      <c r="E66" s="459">
        <f>C66*D66</f>
        <v>0</v>
      </c>
      <c r="F66" s="23"/>
      <c r="G66" s="341"/>
    </row>
    <row r="67" spans="1:8" ht="13.5" thickBot="1" x14ac:dyDescent="0.25">
      <c r="D67" s="307" t="s">
        <v>355</v>
      </c>
      <c r="E67" s="334">
        <v>1</v>
      </c>
      <c r="F67" s="22">
        <f>E65*E67</f>
        <v>172.62720000000002</v>
      </c>
      <c r="G67" s="341"/>
    </row>
    <row r="68" spans="1:8" x14ac:dyDescent="0.2">
      <c r="D68" s="307"/>
      <c r="E68" s="469"/>
      <c r="G68" s="341"/>
    </row>
    <row r="69" spans="1:8" ht="13.5" thickBot="1" x14ac:dyDescent="0.25">
      <c r="A69" s="340" t="s">
        <v>495</v>
      </c>
      <c r="F69" s="23"/>
      <c r="G69" s="341"/>
    </row>
    <row r="70" spans="1:8" ht="13.5" thickBot="1" x14ac:dyDescent="0.25">
      <c r="A70" s="350" t="s">
        <v>64</v>
      </c>
      <c r="B70" s="351" t="s">
        <v>65</v>
      </c>
      <c r="C70" s="351" t="s">
        <v>42</v>
      </c>
      <c r="D70" s="59" t="s">
        <v>223</v>
      </c>
      <c r="E70" s="59" t="s">
        <v>66</v>
      </c>
      <c r="F70" s="60" t="s">
        <v>67</v>
      </c>
      <c r="G70" s="341"/>
    </row>
    <row r="71" spans="1:8" ht="13.5" thickBot="1" x14ac:dyDescent="0.25">
      <c r="A71" s="355" t="s">
        <v>356</v>
      </c>
      <c r="B71" s="356" t="s">
        <v>10</v>
      </c>
      <c r="C71" s="325">
        <v>1</v>
      </c>
      <c r="D71" s="326">
        <v>19.420000000000002</v>
      </c>
      <c r="E71" s="327">
        <f>C71*D71</f>
        <v>19.420000000000002</v>
      </c>
      <c r="F71" s="23"/>
      <c r="G71" s="341"/>
    </row>
    <row r="72" spans="1:8" ht="13.5" hidden="1" thickBot="1" x14ac:dyDescent="0.25">
      <c r="A72" s="355"/>
      <c r="B72" s="356" t="s">
        <v>10</v>
      </c>
      <c r="C72" s="325">
        <v>0</v>
      </c>
      <c r="D72" s="326">
        <v>0</v>
      </c>
      <c r="E72" s="327"/>
      <c r="F72" s="23"/>
      <c r="G72" s="341"/>
    </row>
    <row r="73" spans="1:8" ht="13.5" thickBot="1" x14ac:dyDescent="0.25">
      <c r="A73" s="470"/>
      <c r="B73" s="470"/>
      <c r="D73" s="307" t="s">
        <v>355</v>
      </c>
      <c r="E73" s="334">
        <f>E53</f>
        <v>0.36363636363636365</v>
      </c>
      <c r="F73" s="329">
        <f>SUM(E71:E72)*E73</f>
        <v>7.0618181818181824</v>
      </c>
      <c r="G73" s="341"/>
      <c r="H73" s="471"/>
    </row>
    <row r="74" spans="1:8" ht="13.5" thickBot="1" x14ac:dyDescent="0.25">
      <c r="G74" s="341"/>
    </row>
    <row r="75" spans="1:8" ht="13.5" thickBot="1" x14ac:dyDescent="0.25">
      <c r="A75" s="602" t="s">
        <v>496</v>
      </c>
      <c r="B75" s="603"/>
      <c r="C75" s="603"/>
      <c r="D75" s="603"/>
      <c r="E75" s="604"/>
      <c r="F75" s="116">
        <f>F53+F61+F67+F73</f>
        <v>1963.216049786452</v>
      </c>
      <c r="G75" s="341"/>
    </row>
    <row r="77" spans="1:8" x14ac:dyDescent="0.2">
      <c r="A77" s="340" t="s">
        <v>47</v>
      </c>
      <c r="G77" s="341"/>
    </row>
    <row r="78" spans="1:8" ht="13.9" customHeight="1" thickBot="1" x14ac:dyDescent="0.25">
      <c r="A78" s="341" t="s">
        <v>497</v>
      </c>
      <c r="G78" s="341"/>
    </row>
    <row r="79" spans="1:8" ht="27.75" customHeight="1" thickBot="1" x14ac:dyDescent="0.25">
      <c r="A79" s="350" t="s">
        <v>64</v>
      </c>
      <c r="B79" s="351" t="s">
        <v>65</v>
      </c>
      <c r="C79" s="472" t="s">
        <v>245</v>
      </c>
      <c r="D79" s="59" t="s">
        <v>223</v>
      </c>
      <c r="E79" s="59" t="s">
        <v>66</v>
      </c>
      <c r="F79" s="60" t="s">
        <v>67</v>
      </c>
      <c r="G79" s="341"/>
    </row>
    <row r="80" spans="1:8" ht="13.15" customHeight="1" x14ac:dyDescent="0.2">
      <c r="A80" s="355" t="s">
        <v>30</v>
      </c>
      <c r="B80" s="356" t="s">
        <v>10</v>
      </c>
      <c r="C80" s="473">
        <v>4</v>
      </c>
      <c r="D80" s="284">
        <v>60</v>
      </c>
      <c r="E80" s="354">
        <f t="shared" ref="E80:E87" si="1">IFERROR(D80/C80,0)</f>
        <v>15</v>
      </c>
      <c r="G80" s="341"/>
    </row>
    <row r="81" spans="1:10" x14ac:dyDescent="0.2">
      <c r="A81" s="355" t="s">
        <v>31</v>
      </c>
      <c r="B81" s="356" t="s">
        <v>10</v>
      </c>
      <c r="C81" s="473">
        <v>3</v>
      </c>
      <c r="D81" s="284">
        <v>38</v>
      </c>
      <c r="E81" s="354">
        <f t="shared" si="1"/>
        <v>12.666666666666666</v>
      </c>
      <c r="G81" s="341"/>
    </row>
    <row r="82" spans="1:10" ht="13.15" customHeight="1" x14ac:dyDescent="0.2">
      <c r="A82" s="355" t="s">
        <v>32</v>
      </c>
      <c r="B82" s="356" t="s">
        <v>10</v>
      </c>
      <c r="C82" s="473">
        <v>6</v>
      </c>
      <c r="D82" s="284">
        <v>22</v>
      </c>
      <c r="E82" s="354">
        <f t="shared" si="1"/>
        <v>3.6666666666666665</v>
      </c>
      <c r="G82" s="341"/>
    </row>
    <row r="83" spans="1:10" ht="13.9" customHeight="1" x14ac:dyDescent="0.2">
      <c r="A83" s="355" t="s">
        <v>498</v>
      </c>
      <c r="B83" s="356" t="s">
        <v>50</v>
      </c>
      <c r="C83" s="473">
        <v>4</v>
      </c>
      <c r="D83" s="284">
        <v>70</v>
      </c>
      <c r="E83" s="354">
        <f t="shared" si="1"/>
        <v>17.5</v>
      </c>
      <c r="G83" s="341"/>
    </row>
    <row r="84" spans="1:10" ht="13.9" hidden="1" customHeight="1" x14ac:dyDescent="0.2">
      <c r="A84" s="355" t="s">
        <v>499</v>
      </c>
      <c r="B84" s="356" t="s">
        <v>10</v>
      </c>
      <c r="C84" s="474"/>
      <c r="D84" s="284"/>
      <c r="E84" s="354">
        <f>IFERROR(D84/C84,0)</f>
        <v>0</v>
      </c>
      <c r="G84" s="341"/>
    </row>
    <row r="85" spans="1:10" x14ac:dyDescent="0.2">
      <c r="A85" s="355" t="s">
        <v>500</v>
      </c>
      <c r="B85" s="356" t="s">
        <v>10</v>
      </c>
      <c r="C85" s="473">
        <v>2</v>
      </c>
      <c r="D85" s="284">
        <v>15</v>
      </c>
      <c r="E85" s="354">
        <f t="shared" si="1"/>
        <v>7.5</v>
      </c>
    </row>
    <row r="86" spans="1:10" x14ac:dyDescent="0.2">
      <c r="A86" s="355" t="s">
        <v>33</v>
      </c>
      <c r="B86" s="356" t="s">
        <v>50</v>
      </c>
      <c r="C86" s="474">
        <v>0.5</v>
      </c>
      <c r="D86" s="284">
        <v>12</v>
      </c>
      <c r="E86" s="354">
        <f t="shared" si="1"/>
        <v>24</v>
      </c>
    </row>
    <row r="87" spans="1:10" x14ac:dyDescent="0.2">
      <c r="A87" s="355" t="s">
        <v>551</v>
      </c>
      <c r="B87" s="356" t="s">
        <v>10</v>
      </c>
      <c r="C87" s="473">
        <v>0.04</v>
      </c>
      <c r="D87" s="284">
        <v>0.5</v>
      </c>
      <c r="E87" s="354">
        <f t="shared" si="1"/>
        <v>12.5</v>
      </c>
    </row>
    <row r="88" spans="1:10" ht="13.5" thickBot="1" x14ac:dyDescent="0.25">
      <c r="A88" s="355" t="s">
        <v>5</v>
      </c>
      <c r="B88" s="356" t="s">
        <v>6</v>
      </c>
      <c r="C88" s="475">
        <v>1</v>
      </c>
      <c r="D88" s="476">
        <f>+SUM(E80:E87)</f>
        <v>92.833333333333329</v>
      </c>
      <c r="E88" s="476">
        <f>C88*D88</f>
        <v>92.833333333333329</v>
      </c>
    </row>
    <row r="89" spans="1:10" ht="13.5" thickBot="1" x14ac:dyDescent="0.25">
      <c r="D89" s="307" t="s">
        <v>355</v>
      </c>
      <c r="E89" s="334">
        <f>$B$32</f>
        <v>0.36363636363636365</v>
      </c>
      <c r="F89" s="116">
        <f>E88*E89</f>
        <v>33.757575757575758</v>
      </c>
    </row>
    <row r="90" spans="1:10" ht="11.25" customHeight="1" thickBot="1" x14ac:dyDescent="0.25">
      <c r="G90" s="341"/>
    </row>
    <row r="91" spans="1:10" ht="13.5" thickBot="1" x14ac:dyDescent="0.25">
      <c r="A91" s="602" t="s">
        <v>501</v>
      </c>
      <c r="B91" s="603"/>
      <c r="C91" s="603"/>
      <c r="D91" s="603"/>
      <c r="E91" s="604"/>
      <c r="F91" s="477">
        <f>+F89</f>
        <v>33.757575757575758</v>
      </c>
      <c r="G91" s="341"/>
    </row>
    <row r="92" spans="1:10" ht="11.25" customHeight="1" x14ac:dyDescent="0.2">
      <c r="G92" s="341"/>
    </row>
    <row r="93" spans="1:10" ht="13.5" thickBot="1" x14ac:dyDescent="0.25">
      <c r="A93" s="340" t="s">
        <v>502</v>
      </c>
      <c r="I93" s="463"/>
      <c r="J93" s="463"/>
    </row>
    <row r="94" spans="1:10" ht="13.5" thickBot="1" x14ac:dyDescent="0.25">
      <c r="A94" s="350" t="s">
        <v>64</v>
      </c>
      <c r="B94" s="351" t="s">
        <v>65</v>
      </c>
      <c r="C94" s="351" t="s">
        <v>42</v>
      </c>
      <c r="D94" s="59" t="s">
        <v>223</v>
      </c>
      <c r="E94" s="59" t="s">
        <v>66</v>
      </c>
      <c r="F94" s="60" t="s">
        <v>67</v>
      </c>
      <c r="I94" s="463"/>
      <c r="J94" s="463"/>
    </row>
    <row r="95" spans="1:10" x14ac:dyDescent="0.2">
      <c r="A95" s="355" t="s">
        <v>544</v>
      </c>
      <c r="B95" s="356" t="s">
        <v>503</v>
      </c>
      <c r="C95" s="478">
        <v>12</v>
      </c>
      <c r="D95" s="309">
        <v>180</v>
      </c>
      <c r="E95" s="306">
        <f t="shared" ref="E95:E96" si="2">C95*D95</f>
        <v>2160</v>
      </c>
      <c r="I95" s="463"/>
      <c r="J95" s="463"/>
    </row>
    <row r="96" spans="1:10" ht="13.5" thickBot="1" x14ac:dyDescent="0.25">
      <c r="A96" s="355" t="s">
        <v>504</v>
      </c>
      <c r="B96" s="356" t="s">
        <v>505</v>
      </c>
      <c r="C96" s="308">
        <v>1</v>
      </c>
      <c r="D96" s="309">
        <v>900</v>
      </c>
      <c r="E96" s="306">
        <f t="shared" si="2"/>
        <v>900</v>
      </c>
      <c r="I96" s="463"/>
      <c r="J96" s="463"/>
    </row>
    <row r="97" spans="1:10" ht="13.5" thickBot="1" x14ac:dyDescent="0.25">
      <c r="A97" s="479"/>
      <c r="B97" s="479"/>
      <c r="C97" s="479"/>
      <c r="D97" s="480"/>
      <c r="E97" s="480"/>
      <c r="F97" s="21">
        <f>SUM(E95:E96)</f>
        <v>3060</v>
      </c>
      <c r="I97" s="463"/>
      <c r="J97" s="463"/>
    </row>
    <row r="98" spans="1:10" ht="11.25" customHeight="1" thickBot="1" x14ac:dyDescent="0.25">
      <c r="I98" s="463"/>
      <c r="J98" s="463"/>
    </row>
    <row r="99" spans="1:10" ht="13.5" thickBot="1" x14ac:dyDescent="0.25">
      <c r="A99" s="481" t="s">
        <v>506</v>
      </c>
      <c r="B99" s="482"/>
      <c r="C99" s="482"/>
      <c r="D99" s="483"/>
      <c r="E99" s="484"/>
      <c r="F99" s="477">
        <f>+SUM(F93:F98)</f>
        <v>3060</v>
      </c>
      <c r="G99" s="341"/>
    </row>
    <row r="100" spans="1:10" ht="11.25" customHeight="1" x14ac:dyDescent="0.2">
      <c r="G100" s="341"/>
    </row>
    <row r="101" spans="1:10" ht="11.25" customHeight="1" thickBot="1" x14ac:dyDescent="0.25"/>
    <row r="102" spans="1:10" ht="17.25" customHeight="1" thickBot="1" x14ac:dyDescent="0.25">
      <c r="A102" s="602" t="s">
        <v>507</v>
      </c>
      <c r="B102" s="603"/>
      <c r="C102" s="603"/>
      <c r="D102" s="603"/>
      <c r="E102" s="604"/>
      <c r="F102" s="485">
        <f>+F75+F91+F99</f>
        <v>5056.9736255440275</v>
      </c>
    </row>
    <row r="103" spans="1:10" ht="11.25" customHeight="1" x14ac:dyDescent="0.2"/>
    <row r="104" spans="1:10" s="305" customFormat="1" ht="13.5" thickBot="1" x14ac:dyDescent="0.25">
      <c r="A104" s="340" t="s">
        <v>508</v>
      </c>
      <c r="B104" s="341"/>
      <c r="C104" s="341"/>
      <c r="H104" s="341"/>
      <c r="I104" s="341"/>
      <c r="J104" s="341"/>
    </row>
    <row r="105" spans="1:10" s="305" customFormat="1" ht="13.5" thickBot="1" x14ac:dyDescent="0.25">
      <c r="A105" s="350" t="s">
        <v>64</v>
      </c>
      <c r="B105" s="351" t="s">
        <v>65</v>
      </c>
      <c r="C105" s="351" t="s">
        <v>42</v>
      </c>
      <c r="D105" s="59" t="s">
        <v>223</v>
      </c>
      <c r="E105" s="59" t="s">
        <v>66</v>
      </c>
      <c r="F105" s="60" t="s">
        <v>67</v>
      </c>
      <c r="H105" s="341"/>
      <c r="I105" s="341"/>
      <c r="J105" s="341"/>
    </row>
    <row r="106" spans="1:10" s="305" customFormat="1" ht="13.5" thickBot="1" x14ac:dyDescent="0.25">
      <c r="A106" s="352" t="s">
        <v>38</v>
      </c>
      <c r="B106" s="353" t="s">
        <v>2</v>
      </c>
      <c r="C106" s="357">
        <f>'8.BDI'!C21*100</f>
        <v>27.21</v>
      </c>
      <c r="D106" s="354">
        <f>+F102</f>
        <v>5056.9736255440275</v>
      </c>
      <c r="E106" s="354">
        <f>C106*D106/100</f>
        <v>1376.00252351053</v>
      </c>
      <c r="H106" s="341"/>
      <c r="I106" s="341"/>
      <c r="J106" s="341"/>
    </row>
    <row r="107" spans="1:10" s="305" customFormat="1" ht="13.5" thickBot="1" x14ac:dyDescent="0.25">
      <c r="A107" s="341"/>
      <c r="B107" s="341"/>
      <c r="C107" s="341"/>
      <c r="F107" s="21">
        <f>+E106</f>
        <v>1376.00252351053</v>
      </c>
      <c r="H107" s="341"/>
      <c r="I107" s="341"/>
      <c r="J107" s="341"/>
    </row>
    <row r="108" spans="1:10" s="305" customFormat="1" ht="11.25" customHeight="1" thickBot="1" x14ac:dyDescent="0.25">
      <c r="A108" s="341"/>
      <c r="B108" s="341"/>
      <c r="C108" s="341"/>
      <c r="H108" s="341"/>
      <c r="I108" s="341"/>
      <c r="J108" s="341"/>
    </row>
    <row r="109" spans="1:10" s="305" customFormat="1" ht="13.5" thickBot="1" x14ac:dyDescent="0.25">
      <c r="A109" s="358" t="s">
        <v>509</v>
      </c>
      <c r="B109" s="360"/>
      <c r="C109" s="360"/>
      <c r="D109" s="361"/>
      <c r="E109" s="362"/>
      <c r="F109" s="22">
        <f>F107</f>
        <v>1376.00252351053</v>
      </c>
      <c r="H109" s="341"/>
      <c r="I109" s="341"/>
      <c r="J109" s="341"/>
    </row>
    <row r="110" spans="1:10" s="305" customFormat="1" ht="11.25" customHeight="1" thickBot="1" x14ac:dyDescent="0.25">
      <c r="A110" s="341"/>
      <c r="B110" s="341"/>
      <c r="C110" s="341"/>
      <c r="H110" s="341"/>
      <c r="I110" s="341"/>
      <c r="J110" s="341"/>
    </row>
    <row r="111" spans="1:10" s="305" customFormat="1" ht="24.75" customHeight="1" thickBot="1" x14ac:dyDescent="0.25">
      <c r="A111" s="602" t="s">
        <v>510</v>
      </c>
      <c r="B111" s="603"/>
      <c r="C111" s="603"/>
      <c r="D111" s="603"/>
      <c r="E111" s="604"/>
      <c r="F111" s="477">
        <f>F102+F109</f>
        <v>6432.976149054557</v>
      </c>
      <c r="H111" s="341"/>
      <c r="I111" s="341"/>
      <c r="J111" s="341"/>
    </row>
    <row r="112" spans="1:10" s="305" customFormat="1" ht="12.6" customHeight="1" x14ac:dyDescent="0.2">
      <c r="A112" s="439"/>
      <c r="B112" s="439"/>
      <c r="C112" s="439"/>
      <c r="D112" s="54"/>
      <c r="E112" s="54"/>
      <c r="F112" s="54"/>
      <c r="H112" s="341"/>
      <c r="I112" s="341"/>
      <c r="J112" s="341"/>
    </row>
    <row r="114" spans="1:10" s="305" customFormat="1" ht="14.25" x14ac:dyDescent="0.2">
      <c r="A114" s="620"/>
      <c r="B114" s="620"/>
      <c r="C114" s="620"/>
      <c r="D114" s="620"/>
      <c r="E114" s="620"/>
      <c r="F114" s="620"/>
      <c r="H114" s="341"/>
      <c r="I114" s="341"/>
      <c r="J114" s="341"/>
    </row>
    <row r="115" spans="1:10" s="305" customFormat="1" ht="14.25" x14ac:dyDescent="0.2">
      <c r="A115" s="486"/>
      <c r="B115" s="486"/>
      <c r="C115" s="486"/>
      <c r="D115" s="487"/>
      <c r="E115" s="487"/>
      <c r="F115" s="487"/>
      <c r="H115" s="341"/>
      <c r="I115" s="341"/>
      <c r="J115" s="341"/>
    </row>
    <row r="116" spans="1:10" s="305" customFormat="1" ht="14.25" x14ac:dyDescent="0.2">
      <c r="A116" s="486"/>
      <c r="B116" s="486"/>
      <c r="C116" s="486"/>
      <c r="D116" s="487"/>
      <c r="E116" s="487"/>
      <c r="F116" s="487"/>
      <c r="H116" s="341"/>
      <c r="I116" s="341"/>
      <c r="J116" s="341"/>
    </row>
    <row r="117" spans="1:10" s="305" customFormat="1" ht="14.25" x14ac:dyDescent="0.2">
      <c r="A117" s="620"/>
      <c r="B117" s="620"/>
      <c r="C117" s="620"/>
      <c r="D117" s="620"/>
      <c r="E117" s="620"/>
      <c r="F117" s="620"/>
      <c r="H117" s="341"/>
      <c r="I117" s="341"/>
      <c r="J117" s="341"/>
    </row>
    <row r="118" spans="1:10" s="305" customFormat="1" ht="14.25" x14ac:dyDescent="0.2">
      <c r="A118" s="620"/>
      <c r="B118" s="620"/>
      <c r="C118" s="620"/>
      <c r="D118" s="620"/>
      <c r="E118" s="620"/>
      <c r="F118" s="620"/>
      <c r="H118" s="341"/>
      <c r="I118" s="341"/>
      <c r="J118" s="341"/>
    </row>
    <row r="119" spans="1:10" s="305" customFormat="1" ht="14.25" x14ac:dyDescent="0.2">
      <c r="A119" s="620"/>
      <c r="B119" s="620"/>
      <c r="C119" s="620"/>
      <c r="D119" s="620"/>
      <c r="E119" s="620"/>
      <c r="F119" s="620"/>
      <c r="H119" s="341"/>
      <c r="I119" s="341"/>
      <c r="J119" s="341"/>
    </row>
    <row r="120" spans="1:10" s="305" customFormat="1" ht="14.25" x14ac:dyDescent="0.2">
      <c r="A120" s="620"/>
      <c r="B120" s="620"/>
      <c r="C120" s="620"/>
      <c r="D120" s="620"/>
      <c r="E120" s="620"/>
      <c r="F120" s="620"/>
      <c r="H120" s="341"/>
      <c r="I120" s="341"/>
      <c r="J120" s="341"/>
    </row>
    <row r="121" spans="1:10" s="305" customFormat="1" ht="14.25" x14ac:dyDescent="0.2">
      <c r="A121" s="620"/>
      <c r="B121" s="620"/>
      <c r="C121" s="620"/>
      <c r="D121" s="620"/>
      <c r="E121" s="620"/>
      <c r="F121" s="620"/>
      <c r="H121" s="341"/>
      <c r="I121" s="341"/>
      <c r="J121" s="341"/>
    </row>
    <row r="122" spans="1:10" s="305" customFormat="1" ht="14.25" x14ac:dyDescent="0.2">
      <c r="A122" s="620"/>
      <c r="B122" s="620"/>
      <c r="C122" s="620"/>
      <c r="D122" s="620"/>
      <c r="E122" s="620"/>
      <c r="F122" s="620"/>
      <c r="H122" s="341"/>
      <c r="I122" s="341"/>
      <c r="J122" s="341"/>
    </row>
    <row r="142" s="341" customFormat="1" ht="9" customHeight="1" x14ac:dyDescent="0.2"/>
  </sheetData>
  <mergeCells count="19">
    <mergeCell ref="A122:F122"/>
    <mergeCell ref="A114:F114"/>
    <mergeCell ref="A117:F117"/>
    <mergeCell ref="A118:F118"/>
    <mergeCell ref="A119:F119"/>
    <mergeCell ref="A120:F120"/>
    <mergeCell ref="A121:F121"/>
    <mergeCell ref="A111:E111"/>
    <mergeCell ref="A10:F10"/>
    <mergeCell ref="A11:F11"/>
    <mergeCell ref="A13:F13"/>
    <mergeCell ref="A26:F26"/>
    <mergeCell ref="A27:E27"/>
    <mergeCell ref="A28:E28"/>
    <mergeCell ref="A29:E29"/>
    <mergeCell ref="A30:E30"/>
    <mergeCell ref="A75:E75"/>
    <mergeCell ref="A91:E91"/>
    <mergeCell ref="A102:E102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68" fitToHeight="2" orientation="portrait" r:id="rId1"/>
  <headerFooter alignWithMargins="0">
    <oddFooter>&amp;R&amp;P de &amp;N</oddFooter>
  </headerFooter>
  <rowBreaks count="1" manualBreakCount="1">
    <brk id="92" max="5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0"/>
  <sheetViews>
    <sheetView topLeftCell="A117" zoomScaleSheetLayoutView="100" workbookViewId="0">
      <selection activeCell="A15" sqref="A15:C15"/>
    </sheetView>
  </sheetViews>
  <sheetFormatPr defaultColWidth="9.140625" defaultRowHeight="12.75" x14ac:dyDescent="0.2"/>
  <cols>
    <col min="1" max="1" width="42" style="341" customWidth="1"/>
    <col min="2" max="2" width="16" style="341" bestFit="1" customWidth="1"/>
    <col min="3" max="3" width="11.85546875" style="341" customWidth="1"/>
    <col min="4" max="4" width="14.7109375" style="305" customWidth="1"/>
    <col min="5" max="5" width="15.42578125" style="305" customWidth="1"/>
    <col min="6" max="6" width="12.42578125" style="305" customWidth="1"/>
    <col min="7" max="7" width="28.140625" style="305" customWidth="1"/>
    <col min="8" max="8" width="9.140625" style="341"/>
    <col min="9" max="9" width="14.5703125" style="341" customWidth="1"/>
    <col min="10" max="10" width="13.42578125" style="341" customWidth="1"/>
    <col min="11" max="16384" width="9.140625" style="341"/>
  </cols>
  <sheetData>
    <row r="1" spans="1:7" hidden="1" x14ac:dyDescent="0.2">
      <c r="A1" s="340" t="s">
        <v>191</v>
      </c>
    </row>
    <row r="2" spans="1:7" hidden="1" x14ac:dyDescent="0.2">
      <c r="A2" s="342" t="s">
        <v>394</v>
      </c>
    </row>
    <row r="3" spans="1:7" hidden="1" x14ac:dyDescent="0.2">
      <c r="A3" s="341" t="s">
        <v>192</v>
      </c>
    </row>
    <row r="4" spans="1:7" hidden="1" x14ac:dyDescent="0.2">
      <c r="A4" s="342" t="s">
        <v>395</v>
      </c>
    </row>
    <row r="5" spans="1:7" ht="16.5" customHeight="1" thickBot="1" x14ac:dyDescent="0.25">
      <c r="A5" s="340" t="s">
        <v>533</v>
      </c>
      <c r="B5" s="342"/>
      <c r="C5" s="342"/>
      <c r="D5" s="6"/>
      <c r="E5" s="6"/>
      <c r="F5" s="6"/>
      <c r="G5" s="6"/>
    </row>
    <row r="6" spans="1:7" s="343" customFormat="1" ht="18" x14ac:dyDescent="0.2">
      <c r="A6" s="605" t="s">
        <v>540</v>
      </c>
      <c r="B6" s="606"/>
      <c r="C6" s="606"/>
      <c r="D6" s="606"/>
      <c r="E6" s="606"/>
      <c r="F6" s="607"/>
      <c r="G6" s="35"/>
    </row>
    <row r="7" spans="1:7" s="343" customFormat="1" ht="21.75" customHeight="1" x14ac:dyDescent="0.2">
      <c r="A7" s="608" t="s">
        <v>45</v>
      </c>
      <c r="B7" s="609"/>
      <c r="C7" s="609"/>
      <c r="D7" s="609"/>
      <c r="E7" s="609"/>
      <c r="F7" s="610"/>
      <c r="G7" s="35"/>
    </row>
    <row r="8" spans="1:7" ht="10.9" customHeight="1" thickBot="1" x14ac:dyDescent="0.25">
      <c r="A8" s="344"/>
      <c r="B8" s="342"/>
      <c r="C8" s="342"/>
      <c r="D8" s="140"/>
      <c r="E8" s="140"/>
      <c r="F8" s="141"/>
      <c r="G8" s="6"/>
    </row>
    <row r="9" spans="1:7" ht="15.75" customHeight="1" thickBot="1" x14ac:dyDescent="0.25">
      <c r="A9" s="599" t="s">
        <v>190</v>
      </c>
      <c r="B9" s="600"/>
      <c r="C9" s="600"/>
      <c r="D9" s="600"/>
      <c r="E9" s="600"/>
      <c r="F9" s="601"/>
      <c r="G9" s="6"/>
    </row>
    <row r="10" spans="1:7" ht="15.75" customHeight="1" x14ac:dyDescent="0.2">
      <c r="A10" s="61" t="s">
        <v>189</v>
      </c>
      <c r="B10" s="39"/>
      <c r="C10" s="39"/>
      <c r="D10" s="239"/>
      <c r="E10" s="108" t="s">
        <v>40</v>
      </c>
      <c r="F10" s="40" t="s">
        <v>2</v>
      </c>
      <c r="G10" s="6"/>
    </row>
    <row r="11" spans="1:7" s="340" customFormat="1" ht="15.75" customHeight="1" x14ac:dyDescent="0.2">
      <c r="A11" s="117" t="str">
        <f>A41</f>
        <v>1. Mão-de-obra</v>
      </c>
      <c r="B11" s="443"/>
      <c r="C11" s="119"/>
      <c r="D11" s="119"/>
      <c r="E11" s="345">
        <f>+F64</f>
        <v>964.62257893363642</v>
      </c>
      <c r="F11" s="120">
        <f t="shared" ref="F11:F26" si="0">IFERROR(E11/$E$27,0)</f>
        <v>0.13296320207269754</v>
      </c>
      <c r="G11" s="43"/>
    </row>
    <row r="12" spans="1:7" ht="15.75" customHeight="1" x14ac:dyDescent="0.2">
      <c r="A12" s="48" t="str">
        <f>A42</f>
        <v>1.1. Motorista Turno do Dia</v>
      </c>
      <c r="B12" s="444"/>
      <c r="C12" s="46"/>
      <c r="D12" s="46"/>
      <c r="E12" s="445">
        <f>F52</f>
        <v>871.26394257000004</v>
      </c>
      <c r="F12" s="55">
        <f t="shared" si="0"/>
        <v>0.12009468385309274</v>
      </c>
      <c r="G12" s="6"/>
    </row>
    <row r="13" spans="1:7" ht="15.75" customHeight="1" x14ac:dyDescent="0.2">
      <c r="A13" s="48" t="str">
        <f>A54</f>
        <v>1.2. Vale-refeição (diário)</v>
      </c>
      <c r="B13" s="444"/>
      <c r="C13" s="46"/>
      <c r="D13" s="46"/>
      <c r="E13" s="445">
        <f>F57</f>
        <v>76.800000000000011</v>
      </c>
      <c r="F13" s="55">
        <f t="shared" si="0"/>
        <v>1.058608220685834E-2</v>
      </c>
      <c r="G13" s="6"/>
    </row>
    <row r="14" spans="1:7" ht="15.75" customHeight="1" x14ac:dyDescent="0.2">
      <c r="A14" s="48" t="str">
        <f>A59</f>
        <v>1.3. Auxílio Alimentação (mensal)</v>
      </c>
      <c r="B14" s="444"/>
      <c r="C14" s="46"/>
      <c r="D14" s="46"/>
      <c r="E14" s="445">
        <f>F62</f>
        <v>16.558636363636364</v>
      </c>
      <c r="F14" s="55">
        <f t="shared" si="0"/>
        <v>2.2824360127464628E-3</v>
      </c>
      <c r="G14" s="6"/>
    </row>
    <row r="15" spans="1:7" s="340" customFormat="1" ht="15.75" customHeight="1" x14ac:dyDescent="0.2">
      <c r="A15" s="588" t="str">
        <f>A66</f>
        <v>2. Uniformes e Equipamentos de Proteção Individual</v>
      </c>
      <c r="B15" s="589"/>
      <c r="C15" s="589"/>
      <c r="D15" s="119"/>
      <c r="E15" s="345">
        <f>+F78</f>
        <v>22.01704545454545</v>
      </c>
      <c r="F15" s="120">
        <f t="shared" si="0"/>
        <v>3.0348210043483702E-3</v>
      </c>
      <c r="G15" s="43"/>
    </row>
    <row r="16" spans="1:7" s="340" customFormat="1" ht="15.75" customHeight="1" x14ac:dyDescent="0.2">
      <c r="A16" s="128" t="str">
        <f>A80</f>
        <v>3. Veículos e Equipamentos</v>
      </c>
      <c r="B16" s="346"/>
      <c r="C16" s="119"/>
      <c r="D16" s="119"/>
      <c r="E16" s="345">
        <f>+F156</f>
        <v>4694.2187973484852</v>
      </c>
      <c r="F16" s="120">
        <f t="shared" si="0"/>
        <v>0.64704929799102529</v>
      </c>
      <c r="G16" s="43"/>
    </row>
    <row r="17" spans="1:7" ht="15.75" customHeight="1" x14ac:dyDescent="0.2">
      <c r="A17" s="62" t="str">
        <f>A81</f>
        <v>3.1. Veículo Carreta Basculante xx m³</v>
      </c>
      <c r="B17" s="488"/>
      <c r="C17" s="46"/>
      <c r="D17" s="46"/>
      <c r="E17" s="445">
        <f>SUM(E18:E23)</f>
        <v>4694.2187973484852</v>
      </c>
      <c r="F17" s="489">
        <f t="shared" si="0"/>
        <v>0.64704929799102529</v>
      </c>
      <c r="G17" s="6"/>
    </row>
    <row r="18" spans="1:7" ht="15.75" customHeight="1" x14ac:dyDescent="0.2">
      <c r="A18" s="62" t="str">
        <f>A82</f>
        <v>3.1.1. Depreciação</v>
      </c>
      <c r="B18" s="488"/>
      <c r="C18" s="46"/>
      <c r="D18" s="46"/>
      <c r="E18" s="445">
        <f>F96</f>
        <v>274.61458333333331</v>
      </c>
      <c r="F18" s="489">
        <f t="shared" si="0"/>
        <v>3.7852767635010623E-2</v>
      </c>
      <c r="G18" s="6"/>
    </row>
    <row r="19" spans="1:7" ht="15.75" customHeight="1" x14ac:dyDescent="0.2">
      <c r="A19" s="62" t="str">
        <f>A98</f>
        <v>3.1.2. Remuneração do Capital</v>
      </c>
      <c r="B19" s="488"/>
      <c r="C19" s="46"/>
      <c r="D19" s="46"/>
      <c r="E19" s="445">
        <f>F113</f>
        <v>429.17177083333331</v>
      </c>
      <c r="F19" s="489">
        <f t="shared" si="0"/>
        <v>5.915687040240409E-2</v>
      </c>
      <c r="G19" s="6"/>
    </row>
    <row r="20" spans="1:7" ht="15.75" customHeight="1" x14ac:dyDescent="0.2">
      <c r="A20" s="62" t="str">
        <f>A115</f>
        <v>3.1.3. Impostos e Seguros</v>
      </c>
      <c r="B20" s="488"/>
      <c r="C20" s="46"/>
      <c r="D20" s="46"/>
      <c r="E20" s="445">
        <f>F121</f>
        <v>117.82244318181817</v>
      </c>
      <c r="F20" s="489">
        <f t="shared" si="0"/>
        <v>1.6240599861140924E-2</v>
      </c>
      <c r="G20" s="6"/>
    </row>
    <row r="21" spans="1:7" ht="15.75" customHeight="1" x14ac:dyDescent="0.2">
      <c r="A21" s="62" t="str">
        <f>A123</f>
        <v>3.1.4. Consumos</v>
      </c>
      <c r="B21" s="488"/>
      <c r="C21" s="46"/>
      <c r="D21" s="46"/>
      <c r="E21" s="445">
        <f>F139</f>
        <v>2462.61</v>
      </c>
      <c r="F21" s="489">
        <f t="shared" si="0"/>
        <v>0.33944520707592984</v>
      </c>
      <c r="G21" s="6"/>
    </row>
    <row r="22" spans="1:7" ht="15.75" customHeight="1" x14ac:dyDescent="0.2">
      <c r="A22" s="62" t="str">
        <f>A141</f>
        <v>3.1.5. Manutenção</v>
      </c>
      <c r="B22" s="488"/>
      <c r="C22" s="46"/>
      <c r="D22" s="46"/>
      <c r="E22" s="445">
        <f>F144</f>
        <v>840</v>
      </c>
      <c r="F22" s="489">
        <f t="shared" si="0"/>
        <v>0.11578527413751308</v>
      </c>
      <c r="G22" s="6"/>
    </row>
    <row r="23" spans="1:7" ht="15.75" customHeight="1" x14ac:dyDescent="0.2">
      <c r="A23" s="62" t="str">
        <f>A146</f>
        <v>3.1.6. Pneus</v>
      </c>
      <c r="B23" s="488"/>
      <c r="C23" s="46"/>
      <c r="D23" s="46"/>
      <c r="E23" s="445">
        <f>F153</f>
        <v>570</v>
      </c>
      <c r="F23" s="489">
        <f t="shared" si="0"/>
        <v>7.8568578879026726E-2</v>
      </c>
      <c r="G23" s="6"/>
    </row>
    <row r="24" spans="1:7" s="340" customFormat="1" ht="15.75" hidden="1" customHeight="1" x14ac:dyDescent="0.2">
      <c r="A24" s="128" t="str">
        <f>A158</f>
        <v xml:space="preserve">4. Destinação final </v>
      </c>
      <c r="B24" s="346"/>
      <c r="C24" s="119"/>
      <c r="D24" s="119"/>
      <c r="E24" s="345">
        <f>+F164</f>
        <v>0</v>
      </c>
      <c r="F24" s="120">
        <f t="shared" si="0"/>
        <v>0</v>
      </c>
      <c r="G24" s="43"/>
    </row>
    <row r="25" spans="1:7" s="340" customFormat="1" ht="15.75" customHeight="1" x14ac:dyDescent="0.2">
      <c r="A25" s="128" t="str">
        <f>A166</f>
        <v>4. Monitoramento da Frota</v>
      </c>
      <c r="B25" s="346"/>
      <c r="C25" s="119"/>
      <c r="D25" s="119"/>
      <c r="E25" s="345">
        <f>+F175</f>
        <v>22.159090909090907</v>
      </c>
      <c r="F25" s="120">
        <f t="shared" si="0"/>
        <v>3.0544004946990054E-3</v>
      </c>
      <c r="G25" s="43"/>
    </row>
    <row r="26" spans="1:7" s="340" customFormat="1" ht="15.75" customHeight="1" thickBot="1" x14ac:dyDescent="0.25">
      <c r="A26" s="128" t="str">
        <f>A179</f>
        <v>5. Benefícios e Despesas Indiretas - BDI</v>
      </c>
      <c r="B26" s="346"/>
      <c r="C26" s="119"/>
      <c r="D26" s="119"/>
      <c r="E26" s="347">
        <f>+F185</f>
        <v>1551.7910651909108</v>
      </c>
      <c r="F26" s="120">
        <f t="shared" si="0"/>
        <v>0.21389827843722978</v>
      </c>
      <c r="G26" s="43"/>
    </row>
    <row r="27" spans="1:7" ht="15.75" customHeight="1" thickBot="1" x14ac:dyDescent="0.25">
      <c r="A27" s="41" t="s">
        <v>227</v>
      </c>
      <c r="B27" s="348"/>
      <c r="C27" s="26"/>
      <c r="D27" s="26"/>
      <c r="E27" s="349">
        <f>E11+E15+E16+E24+E25+E26</f>
        <v>7254.8085778366685</v>
      </c>
      <c r="F27" s="133">
        <f>F11+F15+F16+F24+F25+F26</f>
        <v>0.99999999999999989</v>
      </c>
      <c r="G27" s="6"/>
    </row>
    <row r="29" spans="1:7" ht="13.5" thickBot="1" x14ac:dyDescent="0.25"/>
    <row r="30" spans="1:7" ht="15" customHeight="1" thickBot="1" x14ac:dyDescent="0.25">
      <c r="A30" s="599" t="s">
        <v>95</v>
      </c>
      <c r="B30" s="600"/>
      <c r="C30" s="600"/>
      <c r="D30" s="600"/>
      <c r="E30" s="601"/>
      <c r="G30" s="6"/>
    </row>
    <row r="31" spans="1:7" ht="15" customHeight="1" thickBot="1" x14ac:dyDescent="0.25">
      <c r="A31" s="596" t="s">
        <v>41</v>
      </c>
      <c r="B31" s="597"/>
      <c r="C31" s="597"/>
      <c r="D31" s="598"/>
      <c r="E31" s="47" t="s">
        <v>42</v>
      </c>
      <c r="G31" s="6"/>
    </row>
    <row r="32" spans="1:7" ht="17.25" customHeight="1" x14ac:dyDescent="0.2">
      <c r="A32" s="490" t="str">
        <f>+A42</f>
        <v>1.1. Motorista Turno do Dia</v>
      </c>
      <c r="B32" s="491"/>
      <c r="C32" s="491"/>
      <c r="D32" s="492"/>
      <c r="E32" s="493">
        <f>C51</f>
        <v>1</v>
      </c>
      <c r="G32" s="6"/>
    </row>
    <row r="33" spans="1:7" ht="18.75" customHeight="1" thickBot="1" x14ac:dyDescent="0.25">
      <c r="A33" s="68" t="s">
        <v>60</v>
      </c>
      <c r="B33" s="494"/>
      <c r="C33" s="494"/>
      <c r="D33" s="495"/>
      <c r="E33" s="76">
        <f>SUM(E32:E32)</f>
        <v>1</v>
      </c>
      <c r="G33" s="6"/>
    </row>
    <row r="34" spans="1:7" ht="15" customHeight="1" thickBot="1" x14ac:dyDescent="0.25">
      <c r="A34" s="121"/>
      <c r="B34" s="496"/>
      <c r="C34" s="452"/>
      <c r="D34" s="452"/>
      <c r="E34" s="497"/>
      <c r="G34" s="6"/>
    </row>
    <row r="35" spans="1:7" ht="15" customHeight="1" x14ac:dyDescent="0.2">
      <c r="A35" s="621" t="s">
        <v>58</v>
      </c>
      <c r="B35" s="622"/>
      <c r="C35" s="622"/>
      <c r="D35" s="622"/>
      <c r="E35" s="47" t="s">
        <v>42</v>
      </c>
      <c r="F35" s="341"/>
      <c r="G35" s="6"/>
    </row>
    <row r="36" spans="1:7" ht="15" customHeight="1" thickBot="1" x14ac:dyDescent="0.25">
      <c r="A36" s="498" t="str">
        <f>+A81</f>
        <v>3.1. Veículo Carreta Basculante xx m³</v>
      </c>
      <c r="B36" s="499"/>
      <c r="C36" s="499"/>
      <c r="D36" s="500"/>
      <c r="E36" s="501">
        <f>C95</f>
        <v>1</v>
      </c>
      <c r="F36" s="341"/>
      <c r="G36" s="6"/>
    </row>
    <row r="37" spans="1:7" ht="15" customHeight="1" x14ac:dyDescent="0.2">
      <c r="A37" s="452"/>
      <c r="B37" s="452"/>
      <c r="C37" s="452"/>
      <c r="D37" s="341"/>
      <c r="E37" s="502"/>
      <c r="F37" s="341"/>
      <c r="G37" s="6"/>
    </row>
    <row r="38" spans="1:7" ht="13.5" thickBot="1" x14ac:dyDescent="0.25">
      <c r="A38" s="452"/>
      <c r="B38" s="452"/>
      <c r="C38" s="452"/>
      <c r="D38" s="341"/>
      <c r="E38" s="453"/>
      <c r="G38" s="6"/>
    </row>
    <row r="39" spans="1:7" s="340" customFormat="1" ht="15.75" customHeight="1" thickBot="1" x14ac:dyDescent="0.25">
      <c r="A39" s="240" t="s">
        <v>185</v>
      </c>
      <c r="B39" s="285">
        <f>7.5/44</f>
        <v>0.17045454545454544</v>
      </c>
      <c r="C39" s="34"/>
      <c r="E39" s="503"/>
      <c r="G39" s="43"/>
    </row>
    <row r="40" spans="1:7" ht="15.75" customHeight="1" x14ac:dyDescent="0.2">
      <c r="A40" s="452"/>
      <c r="B40" s="452"/>
      <c r="C40" s="452"/>
      <c r="D40" s="341"/>
      <c r="E40" s="453"/>
      <c r="F40" s="341"/>
      <c r="G40" s="6"/>
    </row>
    <row r="41" spans="1:7" ht="13.15" customHeight="1" x14ac:dyDescent="0.2">
      <c r="A41" s="340" t="s">
        <v>49</v>
      </c>
    </row>
    <row r="42" spans="1:7" ht="13.5" thickBot="1" x14ac:dyDescent="0.25">
      <c r="A42" s="340" t="s">
        <v>513</v>
      </c>
    </row>
    <row r="43" spans="1:7" s="505" customFormat="1" ht="13.15" customHeight="1" thickBot="1" x14ac:dyDescent="0.25">
      <c r="A43" s="350" t="s">
        <v>64</v>
      </c>
      <c r="B43" s="351" t="s">
        <v>65</v>
      </c>
      <c r="C43" s="351" t="s">
        <v>42</v>
      </c>
      <c r="D43" s="59" t="s">
        <v>223</v>
      </c>
      <c r="E43" s="59" t="s">
        <v>66</v>
      </c>
      <c r="F43" s="60" t="s">
        <v>67</v>
      </c>
      <c r="G43" s="305"/>
    </row>
    <row r="44" spans="1:7" x14ac:dyDescent="0.2">
      <c r="A44" s="352" t="s">
        <v>514</v>
      </c>
      <c r="B44" s="353" t="s">
        <v>8</v>
      </c>
      <c r="C44" s="353">
        <v>1</v>
      </c>
      <c r="D44" s="284">
        <v>2453.36</v>
      </c>
      <c r="E44" s="354">
        <f>C44*D44</f>
        <v>2453.36</v>
      </c>
    </row>
    <row r="45" spans="1:7" x14ac:dyDescent="0.2">
      <c r="A45" s="352" t="s">
        <v>515</v>
      </c>
      <c r="B45" s="353" t="s">
        <v>8</v>
      </c>
      <c r="C45" s="353">
        <v>1</v>
      </c>
      <c r="D45" s="284">
        <v>1412</v>
      </c>
      <c r="E45" s="354"/>
    </row>
    <row r="46" spans="1:7" x14ac:dyDescent="0.2">
      <c r="A46" s="355" t="s">
        <v>206</v>
      </c>
      <c r="B46" s="356"/>
      <c r="C46" s="462">
        <v>1</v>
      </c>
      <c r="D46" s="306"/>
      <c r="E46" s="306"/>
    </row>
    <row r="47" spans="1:7" x14ac:dyDescent="0.2">
      <c r="A47" s="355" t="s">
        <v>1</v>
      </c>
      <c r="B47" s="356" t="s">
        <v>2</v>
      </c>
      <c r="C47" s="462">
        <v>40</v>
      </c>
      <c r="D47" s="455">
        <f>IF(C46=2,SUM(E44:E45),IF(C46=1,(SUM(E44:E45))*D45/D44,0))</f>
        <v>1412</v>
      </c>
      <c r="E47" s="306">
        <f>C47*D47/100</f>
        <v>564.79999999999995</v>
      </c>
    </row>
    <row r="48" spans="1:7" s="340" customFormat="1" x14ac:dyDescent="0.2">
      <c r="A48" s="506" t="s">
        <v>3</v>
      </c>
      <c r="B48" s="457"/>
      <c r="C48" s="457"/>
      <c r="D48" s="111"/>
      <c r="E48" s="98">
        <f>SUM(E44:E47)</f>
        <v>3018.16</v>
      </c>
      <c r="F48" s="43"/>
      <c r="G48" s="43"/>
    </row>
    <row r="49" spans="1:7" x14ac:dyDescent="0.2">
      <c r="A49" s="355" t="s">
        <v>4</v>
      </c>
      <c r="B49" s="356" t="s">
        <v>2</v>
      </c>
      <c r="C49" s="357">
        <f>'6.Enc Sociais'!C38*100</f>
        <v>69.355340000000012</v>
      </c>
      <c r="D49" s="306">
        <f>E48</f>
        <v>3018.16</v>
      </c>
      <c r="E49" s="306">
        <f>D49*C49/100</f>
        <v>2093.255129744</v>
      </c>
    </row>
    <row r="50" spans="1:7" s="340" customFormat="1" x14ac:dyDescent="0.2">
      <c r="A50" s="506" t="s">
        <v>243</v>
      </c>
      <c r="B50" s="507"/>
      <c r="C50" s="507"/>
      <c r="D50" s="247"/>
      <c r="E50" s="98">
        <f>E48+E49</f>
        <v>5111.4151297440003</v>
      </c>
      <c r="F50" s="43"/>
      <c r="G50" s="43"/>
    </row>
    <row r="51" spans="1:7" ht="13.5" thickBot="1" x14ac:dyDescent="0.25">
      <c r="A51" s="355" t="s">
        <v>5</v>
      </c>
      <c r="B51" s="356" t="s">
        <v>6</v>
      </c>
      <c r="C51" s="462">
        <v>1</v>
      </c>
      <c r="D51" s="306">
        <f>E50</f>
        <v>5111.4151297440003</v>
      </c>
      <c r="E51" s="306">
        <f>C51*D51</f>
        <v>5111.4151297440003</v>
      </c>
    </row>
    <row r="52" spans="1:7" ht="13.5" thickBot="1" x14ac:dyDescent="0.25">
      <c r="D52" s="307" t="s">
        <v>184</v>
      </c>
      <c r="E52" s="334">
        <f>B39</f>
        <v>0.17045454545454544</v>
      </c>
      <c r="F52" s="116">
        <f>E51*E52</f>
        <v>871.26394257000004</v>
      </c>
    </row>
    <row r="53" spans="1:7" x14ac:dyDescent="0.2">
      <c r="D53" s="307"/>
      <c r="E53" s="469"/>
    </row>
    <row r="54" spans="1:7" ht="13.5" thickBot="1" x14ac:dyDescent="0.25">
      <c r="A54" s="340" t="s">
        <v>493</v>
      </c>
      <c r="F54" s="23"/>
      <c r="G54" s="341"/>
    </row>
    <row r="55" spans="1:7" ht="13.5" thickBot="1" x14ac:dyDescent="0.25">
      <c r="A55" s="350" t="s">
        <v>64</v>
      </c>
      <c r="B55" s="351" t="s">
        <v>65</v>
      </c>
      <c r="C55" s="351" t="s">
        <v>42</v>
      </c>
      <c r="D55" s="59" t="s">
        <v>223</v>
      </c>
      <c r="E55" s="59" t="s">
        <v>66</v>
      </c>
      <c r="F55" s="60" t="s">
        <v>67</v>
      </c>
      <c r="G55" s="341"/>
    </row>
    <row r="56" spans="1:7" ht="13.5" thickBot="1" x14ac:dyDescent="0.25">
      <c r="A56" s="355" t="s">
        <v>550</v>
      </c>
      <c r="B56" s="356" t="s">
        <v>10</v>
      </c>
      <c r="C56" s="468">
        <v>6</v>
      </c>
      <c r="D56" s="309">
        <f>16*0.8</f>
        <v>12.8</v>
      </c>
      <c r="E56" s="459">
        <f>C56*D56</f>
        <v>76.800000000000011</v>
      </c>
      <c r="F56" s="23"/>
      <c r="G56" s="341"/>
    </row>
    <row r="57" spans="1:7" ht="13.5" thickBot="1" x14ac:dyDescent="0.25">
      <c r="D57" s="307" t="s">
        <v>184</v>
      </c>
      <c r="E57" s="334">
        <v>1</v>
      </c>
      <c r="F57" s="22">
        <f>E56*E57</f>
        <v>76.800000000000011</v>
      </c>
      <c r="G57" s="341"/>
    </row>
    <row r="58" spans="1:7" x14ac:dyDescent="0.2">
      <c r="G58" s="341"/>
    </row>
    <row r="59" spans="1:7" ht="13.5" thickBot="1" x14ac:dyDescent="0.25">
      <c r="A59" s="340" t="s">
        <v>516</v>
      </c>
      <c r="F59" s="23"/>
      <c r="G59" s="341"/>
    </row>
    <row r="60" spans="1:7" ht="13.5" thickBot="1" x14ac:dyDescent="0.25">
      <c r="A60" s="350" t="s">
        <v>64</v>
      </c>
      <c r="B60" s="351" t="s">
        <v>65</v>
      </c>
      <c r="C60" s="351" t="s">
        <v>42</v>
      </c>
      <c r="D60" s="59" t="s">
        <v>223</v>
      </c>
      <c r="E60" s="59" t="s">
        <v>66</v>
      </c>
      <c r="F60" s="60" t="s">
        <v>67</v>
      </c>
      <c r="G60" s="341"/>
    </row>
    <row r="61" spans="1:7" ht="13.5" thickBot="1" x14ac:dyDescent="0.25">
      <c r="A61" s="355" t="str">
        <f>+A56</f>
        <v xml:space="preserve">Vale Refeição </v>
      </c>
      <c r="B61" s="356" t="s">
        <v>10</v>
      </c>
      <c r="C61" s="468">
        <f>E32</f>
        <v>1</v>
      </c>
      <c r="D61" s="309">
        <f>121.43*0.8</f>
        <v>97.144000000000005</v>
      </c>
      <c r="E61" s="459">
        <f>C61*D61</f>
        <v>97.144000000000005</v>
      </c>
      <c r="F61" s="23"/>
      <c r="G61" s="341"/>
    </row>
    <row r="62" spans="1:7" ht="13.5" thickBot="1" x14ac:dyDescent="0.25">
      <c r="D62" s="307" t="s">
        <v>184</v>
      </c>
      <c r="E62" s="334">
        <f>$B$39</f>
        <v>0.17045454545454544</v>
      </c>
      <c r="F62" s="22">
        <f>SUM(E61:E61)*E62</f>
        <v>16.558636363636364</v>
      </c>
      <c r="G62" s="341"/>
    </row>
    <row r="63" spans="1:7" ht="13.5" thickBot="1" x14ac:dyDescent="0.25">
      <c r="G63" s="341"/>
    </row>
    <row r="64" spans="1:7" ht="13.5" thickBot="1" x14ac:dyDescent="0.25">
      <c r="A64" s="358" t="s">
        <v>92</v>
      </c>
      <c r="B64" s="359"/>
      <c r="C64" s="359"/>
      <c r="D64" s="26"/>
      <c r="E64" s="27"/>
      <c r="F64" s="22">
        <f>F62+F57+F52</f>
        <v>964.62257893363642</v>
      </c>
      <c r="G64" s="341"/>
    </row>
    <row r="66" spans="1:7" x14ac:dyDescent="0.2">
      <c r="A66" s="340" t="s">
        <v>47</v>
      </c>
      <c r="G66" s="341"/>
    </row>
    <row r="67" spans="1:7" ht="13.9" customHeight="1" thickBot="1" x14ac:dyDescent="0.25">
      <c r="A67" s="340" t="s">
        <v>552</v>
      </c>
      <c r="G67" s="341"/>
    </row>
    <row r="68" spans="1:7" ht="27.75" customHeight="1" thickBot="1" x14ac:dyDescent="0.25">
      <c r="A68" s="350" t="s">
        <v>64</v>
      </c>
      <c r="B68" s="351" t="s">
        <v>65</v>
      </c>
      <c r="C68" s="472" t="s">
        <v>245</v>
      </c>
      <c r="D68" s="59" t="s">
        <v>223</v>
      </c>
      <c r="E68" s="59" t="s">
        <v>66</v>
      </c>
      <c r="F68" s="60" t="s">
        <v>67</v>
      </c>
      <c r="G68" s="341"/>
    </row>
    <row r="69" spans="1:7" x14ac:dyDescent="0.2">
      <c r="A69" s="352" t="s">
        <v>68</v>
      </c>
      <c r="B69" s="353" t="s">
        <v>10</v>
      </c>
      <c r="C69" s="474">
        <v>6</v>
      </c>
      <c r="D69" s="284">
        <v>150</v>
      </c>
      <c r="E69" s="354">
        <f>IFERROR(D69/C69,0)</f>
        <v>25</v>
      </c>
      <c r="G69" s="341"/>
    </row>
    <row r="70" spans="1:7" ht="13.15" customHeight="1" x14ac:dyDescent="0.2">
      <c r="A70" s="355" t="s">
        <v>30</v>
      </c>
      <c r="B70" s="356" t="s">
        <v>10</v>
      </c>
      <c r="C70" s="474">
        <v>2</v>
      </c>
      <c r="D70" s="284">
        <v>60</v>
      </c>
      <c r="E70" s="354">
        <f t="shared" ref="E70:E74" si="1">IFERROR(D70/C70,0)</f>
        <v>30</v>
      </c>
      <c r="G70" s="341"/>
    </row>
    <row r="71" spans="1:7" x14ac:dyDescent="0.2">
      <c r="A71" s="355" t="s">
        <v>31</v>
      </c>
      <c r="B71" s="356" t="s">
        <v>10</v>
      </c>
      <c r="C71" s="474">
        <v>1</v>
      </c>
      <c r="D71" s="284">
        <v>38</v>
      </c>
      <c r="E71" s="354">
        <f t="shared" si="1"/>
        <v>38</v>
      </c>
      <c r="G71" s="341"/>
    </row>
    <row r="72" spans="1:7" x14ac:dyDescent="0.2">
      <c r="A72" s="355" t="s">
        <v>517</v>
      </c>
      <c r="B72" s="356" t="s">
        <v>50</v>
      </c>
      <c r="C72" s="474">
        <v>3</v>
      </c>
      <c r="D72" s="284">
        <v>70</v>
      </c>
      <c r="E72" s="354">
        <f t="shared" si="1"/>
        <v>23.333333333333332</v>
      </c>
      <c r="G72" s="341"/>
    </row>
    <row r="73" spans="1:7" ht="13.15" customHeight="1" x14ac:dyDescent="0.2">
      <c r="A73" s="355" t="s">
        <v>69</v>
      </c>
      <c r="B73" s="356" t="s">
        <v>10</v>
      </c>
      <c r="C73" s="474">
        <v>6</v>
      </c>
      <c r="D73" s="284">
        <v>33</v>
      </c>
      <c r="E73" s="354">
        <f t="shared" si="1"/>
        <v>5.5</v>
      </c>
      <c r="G73" s="341"/>
    </row>
    <row r="74" spans="1:7" ht="13.9" customHeight="1" x14ac:dyDescent="0.2">
      <c r="A74" s="355" t="s">
        <v>63</v>
      </c>
      <c r="B74" s="356" t="s">
        <v>51</v>
      </c>
      <c r="C74" s="474">
        <v>3</v>
      </c>
      <c r="D74" s="284">
        <v>22</v>
      </c>
      <c r="E74" s="354">
        <f t="shared" si="1"/>
        <v>7.333333333333333</v>
      </c>
      <c r="G74" s="341"/>
    </row>
    <row r="75" spans="1:7" ht="13.5" thickBot="1" x14ac:dyDescent="0.25">
      <c r="A75" s="355" t="s">
        <v>5</v>
      </c>
      <c r="B75" s="356" t="s">
        <v>6</v>
      </c>
      <c r="C75" s="508">
        <f>C51</f>
        <v>1</v>
      </c>
      <c r="D75" s="306">
        <f>+SUM(E69:E74)</f>
        <v>129.16666666666666</v>
      </c>
      <c r="E75" s="306">
        <f t="shared" ref="E75" si="2">C75*D75</f>
        <v>129.16666666666666</v>
      </c>
    </row>
    <row r="76" spans="1:7" ht="13.5" thickBot="1" x14ac:dyDescent="0.25">
      <c r="D76" s="307" t="s">
        <v>184</v>
      </c>
      <c r="E76" s="334">
        <f>$B$39</f>
        <v>0.17045454545454544</v>
      </c>
      <c r="F76" s="116">
        <f>E75*E76</f>
        <v>22.01704545454545</v>
      </c>
    </row>
    <row r="77" spans="1:7" ht="11.25" customHeight="1" thickBot="1" x14ac:dyDescent="0.25"/>
    <row r="78" spans="1:7" ht="13.5" thickBot="1" x14ac:dyDescent="0.25">
      <c r="A78" s="358" t="s">
        <v>188</v>
      </c>
      <c r="B78" s="360"/>
      <c r="C78" s="360"/>
      <c r="D78" s="361"/>
      <c r="E78" s="362"/>
      <c r="F78" s="21">
        <f>+F76</f>
        <v>22.01704545454545</v>
      </c>
      <c r="G78" s="341"/>
    </row>
    <row r="79" spans="1:7" ht="11.25" customHeight="1" x14ac:dyDescent="0.2">
      <c r="G79" s="341"/>
    </row>
    <row r="80" spans="1:7" x14ac:dyDescent="0.2">
      <c r="A80" s="340" t="s">
        <v>56</v>
      </c>
      <c r="G80" s="341"/>
    </row>
    <row r="81" spans="1:10" x14ac:dyDescent="0.2">
      <c r="A81" s="341" t="s">
        <v>518</v>
      </c>
      <c r="G81" s="341"/>
    </row>
    <row r="82" spans="1:10" ht="13.5" thickBot="1" x14ac:dyDescent="0.25">
      <c r="A82" s="100" t="s">
        <v>48</v>
      </c>
      <c r="G82" s="341"/>
    </row>
    <row r="83" spans="1:10" ht="13.5" thickBot="1" x14ac:dyDescent="0.25">
      <c r="A83" s="350" t="s">
        <v>64</v>
      </c>
      <c r="B83" s="351" t="s">
        <v>65</v>
      </c>
      <c r="C83" s="351" t="s">
        <v>42</v>
      </c>
      <c r="D83" s="59" t="s">
        <v>223</v>
      </c>
      <c r="E83" s="59" t="s">
        <v>66</v>
      </c>
      <c r="F83" s="60" t="s">
        <v>67</v>
      </c>
      <c r="G83" s="341"/>
    </row>
    <row r="84" spans="1:10" x14ac:dyDescent="0.2">
      <c r="A84" s="352" t="s">
        <v>102</v>
      </c>
      <c r="B84" s="353" t="s">
        <v>10</v>
      </c>
      <c r="C84" s="353">
        <v>1</v>
      </c>
      <c r="D84" s="284">
        <v>280000</v>
      </c>
      <c r="E84" s="354">
        <f>C84*D84</f>
        <v>280000</v>
      </c>
      <c r="G84" s="341"/>
    </row>
    <row r="85" spans="1:10" x14ac:dyDescent="0.2">
      <c r="A85" s="355" t="s">
        <v>99</v>
      </c>
      <c r="B85" s="356" t="s">
        <v>100</v>
      </c>
      <c r="C85" s="462">
        <v>15</v>
      </c>
      <c r="D85" s="455"/>
      <c r="E85" s="306"/>
      <c r="G85" s="341"/>
    </row>
    <row r="86" spans="1:10" x14ac:dyDescent="0.2">
      <c r="A86" s="355" t="s">
        <v>201</v>
      </c>
      <c r="B86" s="356" t="s">
        <v>100</v>
      </c>
      <c r="C86" s="462">
        <v>0</v>
      </c>
      <c r="D86" s="306"/>
      <c r="E86" s="306"/>
      <c r="F86" s="509"/>
      <c r="I86" s="463"/>
      <c r="J86" s="463"/>
    </row>
    <row r="87" spans="1:10" x14ac:dyDescent="0.2">
      <c r="A87" s="355" t="s">
        <v>101</v>
      </c>
      <c r="B87" s="356" t="s">
        <v>2</v>
      </c>
      <c r="C87" s="357">
        <f>'13. Depr'!B17</f>
        <v>70.73</v>
      </c>
      <c r="D87" s="306">
        <f>E84</f>
        <v>280000</v>
      </c>
      <c r="E87" s="306">
        <f>C87*D87/100</f>
        <v>198044</v>
      </c>
    </row>
    <row r="88" spans="1:10" ht="13.5" thickBot="1" x14ac:dyDescent="0.25">
      <c r="A88" s="510" t="s">
        <v>519</v>
      </c>
      <c r="B88" s="511" t="s">
        <v>8</v>
      </c>
      <c r="C88" s="511">
        <f>C85*12</f>
        <v>180</v>
      </c>
      <c r="D88" s="257">
        <f>IF(C86&lt;=C85,E87,0)</f>
        <v>198044</v>
      </c>
      <c r="E88" s="257">
        <f>IFERROR(D88/C88,0)</f>
        <v>1100.2444444444445</v>
      </c>
    </row>
    <row r="89" spans="1:10" ht="13.5" thickTop="1" x14ac:dyDescent="0.2">
      <c r="A89" s="352" t="s">
        <v>520</v>
      </c>
      <c r="B89" s="353" t="s">
        <v>10</v>
      </c>
      <c r="C89" s="353">
        <f>C84</f>
        <v>1</v>
      </c>
      <c r="D89" s="284">
        <v>130000</v>
      </c>
      <c r="E89" s="354">
        <f>C89*D89</f>
        <v>130000</v>
      </c>
      <c r="G89" s="341"/>
    </row>
    <row r="90" spans="1:10" x14ac:dyDescent="0.2">
      <c r="A90" s="355" t="s">
        <v>521</v>
      </c>
      <c r="B90" s="356" t="s">
        <v>100</v>
      </c>
      <c r="C90" s="462">
        <v>15</v>
      </c>
      <c r="D90" s="306"/>
      <c r="E90" s="306"/>
    </row>
    <row r="91" spans="1:10" x14ac:dyDescent="0.2">
      <c r="A91" s="355" t="s">
        <v>522</v>
      </c>
      <c r="B91" s="356" t="s">
        <v>100</v>
      </c>
      <c r="C91" s="462">
        <v>0</v>
      </c>
      <c r="D91" s="306"/>
      <c r="E91" s="306"/>
      <c r="F91" s="509"/>
      <c r="I91" s="463"/>
      <c r="J91" s="463"/>
    </row>
    <row r="92" spans="1:10" x14ac:dyDescent="0.2">
      <c r="A92" s="355" t="s">
        <v>523</v>
      </c>
      <c r="B92" s="356" t="s">
        <v>2</v>
      </c>
      <c r="C92" s="512">
        <f>'13. Depr'!B17</f>
        <v>70.73</v>
      </c>
      <c r="D92" s="306">
        <f>E89</f>
        <v>130000</v>
      </c>
      <c r="E92" s="306">
        <f>C92*D92/100</f>
        <v>91949</v>
      </c>
    </row>
    <row r="93" spans="1:10" x14ac:dyDescent="0.2">
      <c r="A93" s="506" t="s">
        <v>524</v>
      </c>
      <c r="B93" s="513" t="s">
        <v>8</v>
      </c>
      <c r="C93" s="513">
        <f>C90*12</f>
        <v>180</v>
      </c>
      <c r="D93" s="98">
        <f>IF(C91&lt;=C90,E92,0)</f>
        <v>91949</v>
      </c>
      <c r="E93" s="98">
        <f>IFERROR(D93/C93,0)</f>
        <v>510.82777777777778</v>
      </c>
    </row>
    <row r="94" spans="1:10" x14ac:dyDescent="0.2">
      <c r="A94" s="456" t="s">
        <v>248</v>
      </c>
      <c r="B94" s="457"/>
      <c r="C94" s="457"/>
      <c r="D94" s="111"/>
      <c r="E94" s="112">
        <f>E88+E93</f>
        <v>1611.0722222222223</v>
      </c>
    </row>
    <row r="95" spans="1:10" ht="13.5" thickBot="1" x14ac:dyDescent="0.25">
      <c r="A95" s="506" t="s">
        <v>249</v>
      </c>
      <c r="B95" s="513" t="s">
        <v>10</v>
      </c>
      <c r="C95" s="462">
        <v>1</v>
      </c>
      <c r="D95" s="98">
        <f>E94</f>
        <v>1611.0722222222223</v>
      </c>
      <c r="E95" s="112">
        <f>C95*D95</f>
        <v>1611.0722222222223</v>
      </c>
    </row>
    <row r="96" spans="1:10" ht="13.5" thickBot="1" x14ac:dyDescent="0.25">
      <c r="A96" s="514"/>
      <c r="B96" s="514"/>
      <c r="C96" s="514"/>
      <c r="D96" s="307" t="s">
        <v>184</v>
      </c>
      <c r="E96" s="334">
        <f>E52</f>
        <v>0.17045454545454544</v>
      </c>
      <c r="F96" s="21">
        <f>E95*E96</f>
        <v>274.61458333333331</v>
      </c>
    </row>
    <row r="97" spans="1:10" ht="11.25" customHeight="1" x14ac:dyDescent="0.2"/>
    <row r="98" spans="1:10" ht="13.5" thickBot="1" x14ac:dyDescent="0.25">
      <c r="A98" s="100" t="s">
        <v>106</v>
      </c>
    </row>
    <row r="99" spans="1:10" ht="13.5" thickBot="1" x14ac:dyDescent="0.25">
      <c r="A99" s="515" t="s">
        <v>64</v>
      </c>
      <c r="B99" s="516" t="s">
        <v>65</v>
      </c>
      <c r="C99" s="516" t="s">
        <v>42</v>
      </c>
      <c r="D99" s="59" t="s">
        <v>223</v>
      </c>
      <c r="E99" s="104" t="s">
        <v>66</v>
      </c>
      <c r="F99" s="60" t="s">
        <v>67</v>
      </c>
      <c r="I99" s="463"/>
      <c r="J99" s="463"/>
    </row>
    <row r="100" spans="1:10" x14ac:dyDescent="0.2">
      <c r="A100" s="355" t="s">
        <v>105</v>
      </c>
      <c r="B100" s="356" t="s">
        <v>10</v>
      </c>
      <c r="C100" s="356">
        <v>1</v>
      </c>
      <c r="D100" s="306">
        <f>D84</f>
        <v>280000</v>
      </c>
      <c r="E100" s="306">
        <f>C100*D100</f>
        <v>280000</v>
      </c>
      <c r="F100" s="509"/>
      <c r="I100" s="463"/>
      <c r="J100" s="463"/>
    </row>
    <row r="101" spans="1:10" x14ac:dyDescent="0.2">
      <c r="A101" s="355" t="s">
        <v>204</v>
      </c>
      <c r="B101" s="356" t="s">
        <v>2</v>
      </c>
      <c r="C101" s="504">
        <v>10</v>
      </c>
      <c r="D101" s="306"/>
      <c r="E101" s="306"/>
      <c r="F101" s="509"/>
      <c r="I101" s="463"/>
      <c r="J101" s="463"/>
    </row>
    <row r="102" spans="1:10" x14ac:dyDescent="0.2">
      <c r="A102" s="355" t="s">
        <v>202</v>
      </c>
      <c r="B102" s="356" t="s">
        <v>35</v>
      </c>
      <c r="C102" s="517">
        <f>IFERROR(IF(C86&lt;=C85,E84-(C87/(100*C85)*C86)*E84,E84-E87),0)</f>
        <v>280000</v>
      </c>
      <c r="D102" s="306"/>
      <c r="E102" s="306"/>
      <c r="F102" s="509"/>
      <c r="I102" s="463"/>
      <c r="J102" s="463"/>
    </row>
    <row r="103" spans="1:10" x14ac:dyDescent="0.2">
      <c r="A103" s="355" t="s">
        <v>108</v>
      </c>
      <c r="B103" s="356" t="s">
        <v>35</v>
      </c>
      <c r="C103" s="455">
        <f>IFERROR(IF(C86&gt;=C85,C102,((((C102)-(E84-E87))*(((C85-C86)+1)/(2*(C85-C86))))+(E84-E87))),0)</f>
        <v>187579.46666666667</v>
      </c>
      <c r="D103" s="306"/>
      <c r="E103" s="306"/>
      <c r="F103" s="509"/>
      <c r="I103" s="463"/>
      <c r="J103" s="463"/>
    </row>
    <row r="104" spans="1:10" ht="13.5" thickBot="1" x14ac:dyDescent="0.25">
      <c r="A104" s="510" t="s">
        <v>109</v>
      </c>
      <c r="B104" s="511" t="s">
        <v>35</v>
      </c>
      <c r="C104" s="511"/>
      <c r="D104" s="258">
        <f>C101*C103/12/100</f>
        <v>1563.1622222222222</v>
      </c>
      <c r="E104" s="257">
        <f>D104</f>
        <v>1563.1622222222222</v>
      </c>
      <c r="F104" s="509"/>
      <c r="I104" s="463"/>
      <c r="J104" s="463"/>
    </row>
    <row r="105" spans="1:10" ht="13.5" thickTop="1" x14ac:dyDescent="0.2">
      <c r="A105" s="352" t="s">
        <v>525</v>
      </c>
      <c r="B105" s="353" t="s">
        <v>10</v>
      </c>
      <c r="C105" s="353">
        <f>C89</f>
        <v>1</v>
      </c>
      <c r="D105" s="354">
        <f>D89</f>
        <v>130000</v>
      </c>
      <c r="E105" s="354">
        <f>C105*D105</f>
        <v>130000</v>
      </c>
      <c r="F105" s="509"/>
      <c r="I105" s="463"/>
      <c r="J105" s="463"/>
    </row>
    <row r="106" spans="1:10" x14ac:dyDescent="0.2">
      <c r="A106" s="355" t="s">
        <v>204</v>
      </c>
      <c r="B106" s="356" t="s">
        <v>2</v>
      </c>
      <c r="C106" s="518">
        <f>C101</f>
        <v>10</v>
      </c>
      <c r="D106" s="306"/>
      <c r="E106" s="306"/>
      <c r="F106" s="509"/>
      <c r="I106" s="463"/>
      <c r="J106" s="463"/>
    </row>
    <row r="107" spans="1:10" x14ac:dyDescent="0.2">
      <c r="A107" s="355" t="s">
        <v>526</v>
      </c>
      <c r="B107" s="356" t="s">
        <v>35</v>
      </c>
      <c r="C107" s="517">
        <f>IFERROR(IF(C91&lt;=C90,E89-(C92/(100*C90)*C91)*E89,E89-E92),0)</f>
        <v>130000</v>
      </c>
      <c r="D107" s="306"/>
      <c r="E107" s="306"/>
      <c r="F107" s="509"/>
      <c r="I107" s="463"/>
      <c r="J107" s="463"/>
    </row>
    <row r="108" spans="1:10" x14ac:dyDescent="0.2">
      <c r="A108" s="355" t="s">
        <v>527</v>
      </c>
      <c r="B108" s="356" t="s">
        <v>35</v>
      </c>
      <c r="C108" s="455">
        <f>IFERROR(IF(C91&gt;=C90,C107,((((C107)-(E89-E92))*(((C90-C91)+1)/(2*(C90-C91))))+(E89-E92))),0)</f>
        <v>87090.466666666674</v>
      </c>
      <c r="D108" s="306"/>
      <c r="E108" s="306"/>
      <c r="F108" s="509"/>
      <c r="I108" s="463"/>
      <c r="J108" s="463"/>
    </row>
    <row r="109" spans="1:10" x14ac:dyDescent="0.2">
      <c r="A109" s="506" t="s">
        <v>528</v>
      </c>
      <c r="B109" s="513" t="s">
        <v>35</v>
      </c>
      <c r="C109" s="513"/>
      <c r="D109" s="106">
        <f>C106*C108/12/100</f>
        <v>725.75388888888892</v>
      </c>
      <c r="E109" s="98">
        <f>D109</f>
        <v>725.75388888888892</v>
      </c>
      <c r="F109" s="509"/>
      <c r="I109" s="463"/>
      <c r="J109" s="463"/>
    </row>
    <row r="110" spans="1:10" x14ac:dyDescent="0.2">
      <c r="A110" s="506" t="s">
        <v>373</v>
      </c>
      <c r="B110" s="513" t="s">
        <v>8</v>
      </c>
      <c r="C110" s="513">
        <v>1</v>
      </c>
      <c r="D110" s="98">
        <f>IF(C108&lt;=C107,E109,0)</f>
        <v>725.75388888888892</v>
      </c>
      <c r="E110" s="98">
        <f>(E104+E109)*0.1</f>
        <v>228.89161111111113</v>
      </c>
      <c r="F110" s="509"/>
      <c r="I110" s="463"/>
      <c r="J110" s="463"/>
    </row>
    <row r="111" spans="1:10" x14ac:dyDescent="0.2">
      <c r="A111" s="456" t="s">
        <v>248</v>
      </c>
      <c r="B111" s="457"/>
      <c r="C111" s="457"/>
      <c r="D111" s="111"/>
      <c r="E111" s="112">
        <f>E104+E109+E110</f>
        <v>2517.8077222222223</v>
      </c>
      <c r="F111" s="509"/>
      <c r="I111" s="463"/>
      <c r="J111" s="463"/>
    </row>
    <row r="112" spans="1:10" ht="13.5" thickBot="1" x14ac:dyDescent="0.25">
      <c r="A112" s="506" t="s">
        <v>249</v>
      </c>
      <c r="B112" s="513" t="s">
        <v>10</v>
      </c>
      <c r="C112" s="356">
        <f>C95</f>
        <v>1</v>
      </c>
      <c r="D112" s="98">
        <f>E111</f>
        <v>2517.8077222222223</v>
      </c>
      <c r="E112" s="112">
        <f>C112*D112</f>
        <v>2517.8077222222223</v>
      </c>
      <c r="F112" s="509"/>
      <c r="I112" s="463"/>
      <c r="J112" s="463"/>
    </row>
    <row r="113" spans="1:10" ht="13.5" thickBot="1" x14ac:dyDescent="0.25">
      <c r="C113" s="519"/>
      <c r="D113" s="307" t="s">
        <v>184</v>
      </c>
      <c r="E113" s="334">
        <f>E52</f>
        <v>0.17045454545454544</v>
      </c>
      <c r="F113" s="21">
        <f>E112*E113</f>
        <v>429.17177083333331</v>
      </c>
      <c r="I113" s="463"/>
      <c r="J113" s="463"/>
    </row>
    <row r="114" spans="1:10" ht="11.25" customHeight="1" x14ac:dyDescent="0.2">
      <c r="I114" s="463"/>
      <c r="J114" s="463"/>
    </row>
    <row r="115" spans="1:10" ht="13.5" thickBot="1" x14ac:dyDescent="0.25">
      <c r="A115" s="341" t="s">
        <v>53</v>
      </c>
      <c r="I115" s="463"/>
      <c r="J115" s="463"/>
    </row>
    <row r="116" spans="1:10" ht="13.5" thickBot="1" x14ac:dyDescent="0.25">
      <c r="A116" s="350" t="s">
        <v>64</v>
      </c>
      <c r="B116" s="351" t="s">
        <v>65</v>
      </c>
      <c r="C116" s="351" t="s">
        <v>42</v>
      </c>
      <c r="D116" s="59" t="s">
        <v>223</v>
      </c>
      <c r="E116" s="59" t="s">
        <v>66</v>
      </c>
      <c r="F116" s="60" t="s">
        <v>67</v>
      </c>
      <c r="I116" s="463"/>
      <c r="J116" s="463"/>
    </row>
    <row r="117" spans="1:10" x14ac:dyDescent="0.2">
      <c r="A117" s="352" t="s">
        <v>12</v>
      </c>
      <c r="B117" s="353" t="s">
        <v>10</v>
      </c>
      <c r="C117" s="354">
        <f>C95</f>
        <v>1</v>
      </c>
      <c r="D117" s="354">
        <f>0.01*C102</f>
        <v>2800</v>
      </c>
      <c r="E117" s="354">
        <f>C117*D117</f>
        <v>2800</v>
      </c>
      <c r="I117" s="463"/>
      <c r="J117" s="463"/>
    </row>
    <row r="118" spans="1:10" x14ac:dyDescent="0.2">
      <c r="A118" s="355" t="s">
        <v>183</v>
      </c>
      <c r="B118" s="356" t="s">
        <v>10</v>
      </c>
      <c r="C118" s="354">
        <f>C95</f>
        <v>1</v>
      </c>
      <c r="D118" s="309">
        <v>94.7</v>
      </c>
      <c r="E118" s="306">
        <f>C118*D118</f>
        <v>94.7</v>
      </c>
      <c r="I118" s="463"/>
      <c r="J118" s="463"/>
    </row>
    <row r="119" spans="1:10" x14ac:dyDescent="0.2">
      <c r="A119" s="355" t="s">
        <v>13</v>
      </c>
      <c r="B119" s="356" t="s">
        <v>10</v>
      </c>
      <c r="C119" s="354">
        <f>C95</f>
        <v>1</v>
      </c>
      <c r="D119" s="309">
        <v>5400</v>
      </c>
      <c r="E119" s="306">
        <f>C119*D119</f>
        <v>5400</v>
      </c>
      <c r="F119" s="31"/>
      <c r="I119" s="463"/>
      <c r="J119" s="463"/>
    </row>
    <row r="120" spans="1:10" ht="13.5" thickBot="1" x14ac:dyDescent="0.25">
      <c r="A120" s="506" t="s">
        <v>14</v>
      </c>
      <c r="B120" s="513" t="s">
        <v>8</v>
      </c>
      <c r="C120" s="513">
        <v>12</v>
      </c>
      <c r="D120" s="98">
        <f>SUM(E117:E119)</f>
        <v>8294.7000000000007</v>
      </c>
      <c r="E120" s="98">
        <f>D120/C120</f>
        <v>691.22500000000002</v>
      </c>
      <c r="I120" s="463"/>
      <c r="J120" s="463"/>
    </row>
    <row r="121" spans="1:10" ht="13.5" thickBot="1" x14ac:dyDescent="0.25">
      <c r="D121" s="307" t="s">
        <v>184</v>
      </c>
      <c r="E121" s="334">
        <f>E52</f>
        <v>0.17045454545454544</v>
      </c>
      <c r="F121" s="116">
        <f>E120*E121</f>
        <v>117.82244318181817</v>
      </c>
      <c r="I121" s="463"/>
      <c r="J121" s="463"/>
    </row>
    <row r="122" spans="1:10" ht="11.25" customHeight="1" x14ac:dyDescent="0.2">
      <c r="I122" s="463"/>
      <c r="J122" s="463"/>
    </row>
    <row r="123" spans="1:10" x14ac:dyDescent="0.2">
      <c r="A123" s="341" t="s">
        <v>54</v>
      </c>
      <c r="B123" s="520"/>
      <c r="I123" s="463"/>
      <c r="J123" s="463"/>
    </row>
    <row r="124" spans="1:10" x14ac:dyDescent="0.2">
      <c r="B124" s="520"/>
      <c r="I124" s="463"/>
      <c r="J124" s="463"/>
    </row>
    <row r="125" spans="1:10" x14ac:dyDescent="0.2">
      <c r="A125" s="506" t="s">
        <v>111</v>
      </c>
      <c r="B125" s="521">
        <f>'12. Roteiros'!BS10</f>
        <v>1200</v>
      </c>
      <c r="I125" s="463"/>
      <c r="J125" s="463"/>
    </row>
    <row r="126" spans="1:10" ht="13.5" thickBot="1" x14ac:dyDescent="0.25">
      <c r="B126" s="520"/>
      <c r="I126" s="463"/>
      <c r="J126" s="463"/>
    </row>
    <row r="127" spans="1:10" ht="13.5" thickBot="1" x14ac:dyDescent="0.25">
      <c r="A127" s="350" t="s">
        <v>64</v>
      </c>
      <c r="B127" s="351" t="s">
        <v>65</v>
      </c>
      <c r="C127" s="351" t="s">
        <v>247</v>
      </c>
      <c r="D127" s="59" t="s">
        <v>223</v>
      </c>
      <c r="E127" s="59" t="s">
        <v>66</v>
      </c>
      <c r="F127" s="60" t="s">
        <v>67</v>
      </c>
      <c r="I127" s="463"/>
      <c r="J127" s="463"/>
    </row>
    <row r="128" spans="1:10" x14ac:dyDescent="0.2">
      <c r="A128" s="352" t="s">
        <v>15</v>
      </c>
      <c r="B128" s="353" t="s">
        <v>16</v>
      </c>
      <c r="C128" s="522">
        <v>3.2</v>
      </c>
      <c r="D128" s="284">
        <v>6.07</v>
      </c>
      <c r="E128" s="354"/>
      <c r="I128" s="463"/>
      <c r="J128" s="463"/>
    </row>
    <row r="129" spans="1:10" x14ac:dyDescent="0.2">
      <c r="A129" s="355" t="s">
        <v>17</v>
      </c>
      <c r="B129" s="356" t="s">
        <v>18</v>
      </c>
      <c r="C129" s="308">
        <f>B125</f>
        <v>1200</v>
      </c>
      <c r="D129" s="523">
        <f>IFERROR(+D128/C128,"-")</f>
        <v>1.8968750000000001</v>
      </c>
      <c r="E129" s="306">
        <f>IFERROR(C129*D129,"-")</f>
        <v>2276.25</v>
      </c>
      <c r="I129" s="463"/>
      <c r="J129" s="463"/>
    </row>
    <row r="130" spans="1:10" x14ac:dyDescent="0.2">
      <c r="A130" s="355" t="s">
        <v>224</v>
      </c>
      <c r="B130" s="356" t="s">
        <v>19</v>
      </c>
      <c r="C130" s="524">
        <v>1.8</v>
      </c>
      <c r="D130" s="309">
        <v>16</v>
      </c>
      <c r="E130" s="306"/>
      <c r="G130" s="363"/>
      <c r="I130" s="463"/>
      <c r="J130" s="463"/>
    </row>
    <row r="131" spans="1:10" x14ac:dyDescent="0.2">
      <c r="A131" s="355" t="s">
        <v>20</v>
      </c>
      <c r="B131" s="356" t="s">
        <v>18</v>
      </c>
      <c r="C131" s="308">
        <f>C129</f>
        <v>1200</v>
      </c>
      <c r="D131" s="310">
        <f>+C130*D130/1000</f>
        <v>2.8799999999999999E-2</v>
      </c>
      <c r="E131" s="306">
        <f>C131*D131</f>
        <v>34.56</v>
      </c>
      <c r="G131" s="363"/>
      <c r="I131" s="463"/>
      <c r="J131" s="463"/>
    </row>
    <row r="132" spans="1:10" x14ac:dyDescent="0.2">
      <c r="A132" s="355" t="s">
        <v>225</v>
      </c>
      <c r="B132" s="356" t="s">
        <v>19</v>
      </c>
      <c r="C132" s="524">
        <v>0.18</v>
      </c>
      <c r="D132" s="309">
        <v>25</v>
      </c>
      <c r="E132" s="306"/>
      <c r="G132" s="363"/>
      <c r="I132" s="463"/>
      <c r="J132" s="463"/>
    </row>
    <row r="133" spans="1:10" x14ac:dyDescent="0.2">
      <c r="A133" s="355" t="s">
        <v>21</v>
      </c>
      <c r="B133" s="356" t="s">
        <v>18</v>
      </c>
      <c r="C133" s="308">
        <f>C129</f>
        <v>1200</v>
      </c>
      <c r="D133" s="310">
        <f>+C132*D132/1000</f>
        <v>4.4999999999999997E-3</v>
      </c>
      <c r="E133" s="306">
        <f>C133*D133</f>
        <v>5.3999999999999995</v>
      </c>
      <c r="G133" s="363"/>
      <c r="I133" s="463"/>
      <c r="J133" s="463"/>
    </row>
    <row r="134" spans="1:10" x14ac:dyDescent="0.2">
      <c r="A134" s="355" t="s">
        <v>226</v>
      </c>
      <c r="B134" s="356" t="s">
        <v>19</v>
      </c>
      <c r="C134" s="524">
        <v>2</v>
      </c>
      <c r="D134" s="309">
        <v>21</v>
      </c>
      <c r="E134" s="306"/>
      <c r="G134" s="363"/>
      <c r="I134" s="463"/>
      <c r="J134" s="463"/>
    </row>
    <row r="135" spans="1:10" x14ac:dyDescent="0.2">
      <c r="A135" s="355" t="s">
        <v>22</v>
      </c>
      <c r="B135" s="356" t="s">
        <v>18</v>
      </c>
      <c r="C135" s="308">
        <f>C129</f>
        <v>1200</v>
      </c>
      <c r="D135" s="310">
        <f>+C134*D134/1000</f>
        <v>4.2000000000000003E-2</v>
      </c>
      <c r="E135" s="306">
        <f>C135*D135</f>
        <v>50.400000000000006</v>
      </c>
      <c r="G135" s="363"/>
      <c r="I135" s="463"/>
      <c r="J135" s="463"/>
    </row>
    <row r="136" spans="1:10" x14ac:dyDescent="0.2">
      <c r="A136" s="355" t="s">
        <v>23</v>
      </c>
      <c r="B136" s="356" t="s">
        <v>24</v>
      </c>
      <c r="C136" s="524">
        <v>4</v>
      </c>
      <c r="D136" s="309">
        <v>20</v>
      </c>
      <c r="E136" s="306"/>
      <c r="G136" s="363"/>
      <c r="I136" s="463"/>
      <c r="J136" s="463"/>
    </row>
    <row r="137" spans="1:10" x14ac:dyDescent="0.2">
      <c r="A137" s="355" t="s">
        <v>25</v>
      </c>
      <c r="B137" s="356" t="s">
        <v>18</v>
      </c>
      <c r="C137" s="308">
        <f>C129</f>
        <v>1200</v>
      </c>
      <c r="D137" s="310">
        <f>+C136*D136/1000</f>
        <v>0.08</v>
      </c>
      <c r="E137" s="306">
        <f>C137*D137</f>
        <v>96</v>
      </c>
      <c r="G137" s="363"/>
      <c r="I137" s="463"/>
      <c r="J137" s="463"/>
    </row>
    <row r="138" spans="1:10" ht="13.5" thickBot="1" x14ac:dyDescent="0.25">
      <c r="A138" s="506" t="s">
        <v>246</v>
      </c>
      <c r="B138" s="513" t="s">
        <v>112</v>
      </c>
      <c r="C138" s="250"/>
      <c r="D138" s="251">
        <f>IFERROR(D129+D131+D133+D135+D137,0)</f>
        <v>2.0521750000000001</v>
      </c>
      <c r="E138" s="306"/>
      <c r="G138" s="363"/>
      <c r="I138" s="463"/>
      <c r="J138" s="463"/>
    </row>
    <row r="139" spans="1:10" ht="13.5" thickBot="1" x14ac:dyDescent="0.25">
      <c r="F139" s="21">
        <f>SUM(E128:E137)</f>
        <v>2462.61</v>
      </c>
      <c r="I139" s="463"/>
      <c r="J139" s="463"/>
    </row>
    <row r="140" spans="1:10" ht="11.25" customHeight="1" x14ac:dyDescent="0.2">
      <c r="I140" s="463"/>
      <c r="J140" s="463"/>
    </row>
    <row r="141" spans="1:10" ht="13.5" thickBot="1" x14ac:dyDescent="0.25">
      <c r="A141" s="341" t="s">
        <v>55</v>
      </c>
      <c r="I141" s="463"/>
      <c r="J141" s="463"/>
    </row>
    <row r="142" spans="1:10" ht="13.5" thickBot="1" x14ac:dyDescent="0.25">
      <c r="A142" s="350" t="s">
        <v>64</v>
      </c>
      <c r="B142" s="351" t="s">
        <v>65</v>
      </c>
      <c r="C142" s="351" t="s">
        <v>42</v>
      </c>
      <c r="D142" s="59" t="s">
        <v>223</v>
      </c>
      <c r="E142" s="59" t="s">
        <v>66</v>
      </c>
      <c r="F142" s="60" t="s">
        <v>67</v>
      </c>
      <c r="I142" s="463"/>
      <c r="J142" s="463"/>
    </row>
    <row r="143" spans="1:10" ht="13.5" thickBot="1" x14ac:dyDescent="0.25">
      <c r="A143" s="352" t="s">
        <v>110</v>
      </c>
      <c r="B143" s="353" t="s">
        <v>112</v>
      </c>
      <c r="C143" s="308">
        <f>C129</f>
        <v>1200</v>
      </c>
      <c r="D143" s="284">
        <v>0.7</v>
      </c>
      <c r="E143" s="354">
        <f>C143*D143</f>
        <v>840</v>
      </c>
      <c r="I143" s="463"/>
      <c r="J143" s="463"/>
    </row>
    <row r="144" spans="1:10" ht="13.5" thickBot="1" x14ac:dyDescent="0.25">
      <c r="F144" s="21">
        <f>E143</f>
        <v>840</v>
      </c>
      <c r="I144" s="463"/>
      <c r="J144" s="463"/>
    </row>
    <row r="145" spans="1:10" ht="11.25" customHeight="1" x14ac:dyDescent="0.2">
      <c r="I145" s="463"/>
      <c r="J145" s="463"/>
    </row>
    <row r="146" spans="1:10" ht="13.5" thickBot="1" x14ac:dyDescent="0.25">
      <c r="A146" s="341" t="s">
        <v>62</v>
      </c>
      <c r="I146" s="463"/>
      <c r="J146" s="463"/>
    </row>
    <row r="147" spans="1:10" ht="13.5" thickBot="1" x14ac:dyDescent="0.25">
      <c r="A147" s="350" t="s">
        <v>64</v>
      </c>
      <c r="B147" s="351" t="s">
        <v>65</v>
      </c>
      <c r="C147" s="351" t="s">
        <v>42</v>
      </c>
      <c r="D147" s="59" t="s">
        <v>223</v>
      </c>
      <c r="E147" s="59" t="s">
        <v>66</v>
      </c>
      <c r="F147" s="60" t="s">
        <v>67</v>
      </c>
      <c r="I147" s="463"/>
      <c r="J147" s="463"/>
    </row>
    <row r="148" spans="1:10" x14ac:dyDescent="0.2">
      <c r="A148" s="352" t="s">
        <v>529</v>
      </c>
      <c r="B148" s="353" t="s">
        <v>10</v>
      </c>
      <c r="C148" s="525">
        <v>10</v>
      </c>
      <c r="D148" s="284">
        <v>2500</v>
      </c>
      <c r="E148" s="354">
        <f>C148*D148</f>
        <v>25000</v>
      </c>
      <c r="I148" s="463"/>
      <c r="J148" s="463"/>
    </row>
    <row r="149" spans="1:10" x14ac:dyDescent="0.2">
      <c r="A149" s="352" t="s">
        <v>113</v>
      </c>
      <c r="B149" s="353" t="s">
        <v>10</v>
      </c>
      <c r="C149" s="525">
        <v>2</v>
      </c>
      <c r="D149" s="526"/>
      <c r="E149" s="354"/>
      <c r="I149" s="463"/>
      <c r="J149" s="463"/>
    </row>
    <row r="150" spans="1:10" x14ac:dyDescent="0.2">
      <c r="A150" s="352" t="s">
        <v>71</v>
      </c>
      <c r="B150" s="353" t="s">
        <v>10</v>
      </c>
      <c r="C150" s="354">
        <f>C148*C149</f>
        <v>20</v>
      </c>
      <c r="D150" s="284">
        <v>650</v>
      </c>
      <c r="E150" s="354">
        <f>C150*D150</f>
        <v>13000</v>
      </c>
      <c r="I150" s="463"/>
      <c r="J150" s="463"/>
    </row>
    <row r="151" spans="1:10" x14ac:dyDescent="0.2">
      <c r="A151" s="355" t="s">
        <v>94</v>
      </c>
      <c r="B151" s="356" t="s">
        <v>26</v>
      </c>
      <c r="C151" s="527">
        <v>80000</v>
      </c>
      <c r="D151" s="306">
        <f>E148+E150</f>
        <v>38000</v>
      </c>
      <c r="E151" s="306">
        <f>IFERROR(D151/C151,"-")</f>
        <v>0.47499999999999998</v>
      </c>
      <c r="I151" s="463"/>
      <c r="J151" s="463"/>
    </row>
    <row r="152" spans="1:10" ht="13.5" thickBot="1" x14ac:dyDescent="0.25">
      <c r="A152" s="355" t="s">
        <v>57</v>
      </c>
      <c r="B152" s="356" t="s">
        <v>18</v>
      </c>
      <c r="C152" s="308">
        <f>B125</f>
        <v>1200</v>
      </c>
      <c r="D152" s="306">
        <f>E151</f>
        <v>0.47499999999999998</v>
      </c>
      <c r="E152" s="306">
        <f>IFERROR(C152*D152,0)</f>
        <v>570</v>
      </c>
      <c r="I152" s="463"/>
      <c r="J152" s="463"/>
    </row>
    <row r="153" spans="1:10" ht="13.5" thickBot="1" x14ac:dyDescent="0.25">
      <c r="C153" s="528"/>
      <c r="F153" s="21">
        <f>E152</f>
        <v>570</v>
      </c>
      <c r="I153" s="463"/>
      <c r="J153" s="463"/>
    </row>
    <row r="154" spans="1:10" ht="11.25" customHeight="1" x14ac:dyDescent="0.2">
      <c r="I154" s="463"/>
      <c r="J154" s="463"/>
    </row>
    <row r="155" spans="1:10" ht="11.25" customHeight="1" thickBot="1" x14ac:dyDescent="0.25">
      <c r="G155" s="341"/>
    </row>
    <row r="156" spans="1:10" ht="13.5" thickBot="1" x14ac:dyDescent="0.25">
      <c r="A156" s="358" t="s">
        <v>216</v>
      </c>
      <c r="B156" s="359"/>
      <c r="C156" s="359"/>
      <c r="D156" s="26"/>
      <c r="E156" s="27"/>
      <c r="F156" s="21">
        <f>+SUM(F84:F155)</f>
        <v>4694.2187973484852</v>
      </c>
      <c r="G156" s="341"/>
    </row>
    <row r="157" spans="1:10" ht="11.25" customHeight="1" x14ac:dyDescent="0.2">
      <c r="G157" s="341"/>
    </row>
    <row r="158" spans="1:10" hidden="1" x14ac:dyDescent="0.2">
      <c r="A158" s="340" t="s">
        <v>530</v>
      </c>
      <c r="B158" s="340"/>
      <c r="C158" s="340"/>
      <c r="D158" s="34"/>
      <c r="E158" s="34"/>
      <c r="F158" s="33"/>
      <c r="G158" s="341"/>
    </row>
    <row r="159" spans="1:10" ht="11.25" hidden="1" customHeight="1" thickBot="1" x14ac:dyDescent="0.25">
      <c r="G159" s="341"/>
    </row>
    <row r="160" spans="1:10" ht="13.5" hidden="1" thickBot="1" x14ac:dyDescent="0.25">
      <c r="A160" s="350" t="s">
        <v>64</v>
      </c>
      <c r="B160" s="351" t="s">
        <v>65</v>
      </c>
      <c r="C160" s="351" t="s">
        <v>42</v>
      </c>
      <c r="D160" s="59" t="s">
        <v>223</v>
      </c>
      <c r="E160" s="59" t="s">
        <v>66</v>
      </c>
      <c r="F160" s="60" t="s">
        <v>67</v>
      </c>
      <c r="G160" s="341"/>
    </row>
    <row r="161" spans="1:7" hidden="1" x14ac:dyDescent="0.2">
      <c r="A161" s="355" t="s">
        <v>396</v>
      </c>
      <c r="B161" s="356" t="s">
        <v>397</v>
      </c>
      <c r="C161" s="364">
        <v>0</v>
      </c>
      <c r="D161" s="284">
        <v>0</v>
      </c>
      <c r="E161" s="306">
        <f>C161*D161</f>
        <v>0</v>
      </c>
      <c r="F161" s="365"/>
      <c r="G161" s="341"/>
    </row>
    <row r="162" spans="1:7" ht="13.5" hidden="1" thickBot="1" x14ac:dyDescent="0.25">
      <c r="A162" s="340"/>
      <c r="B162" s="340"/>
      <c r="C162" s="340"/>
      <c r="D162" s="340"/>
      <c r="E162" s="34"/>
      <c r="F162" s="21">
        <f>SUM(E161:E161)</f>
        <v>0</v>
      </c>
      <c r="G162" s="341"/>
    </row>
    <row r="163" spans="1:7" ht="11.25" hidden="1" customHeight="1" thickBot="1" x14ac:dyDescent="0.25">
      <c r="G163" s="341"/>
    </row>
    <row r="164" spans="1:7" ht="13.5" hidden="1" thickBot="1" x14ac:dyDescent="0.25">
      <c r="A164" s="358" t="s">
        <v>398</v>
      </c>
      <c r="B164" s="359"/>
      <c r="C164" s="359"/>
      <c r="D164" s="26"/>
      <c r="E164" s="27"/>
      <c r="F164" s="21">
        <f>+F162</f>
        <v>0</v>
      </c>
      <c r="G164" s="341"/>
    </row>
    <row r="165" spans="1:7" ht="11.25" customHeight="1" x14ac:dyDescent="0.2">
      <c r="G165" s="341"/>
    </row>
    <row r="166" spans="1:7" x14ac:dyDescent="0.2">
      <c r="A166" s="340" t="s">
        <v>531</v>
      </c>
      <c r="B166" s="340"/>
      <c r="C166" s="340"/>
      <c r="D166" s="34"/>
      <c r="E166" s="34"/>
      <c r="F166" s="33"/>
    </row>
    <row r="167" spans="1:7" ht="11.25" customHeight="1" thickBot="1" x14ac:dyDescent="0.25"/>
    <row r="168" spans="1:7" ht="13.5" thickBot="1" x14ac:dyDescent="0.25">
      <c r="A168" s="350" t="s">
        <v>64</v>
      </c>
      <c r="B168" s="351" t="s">
        <v>65</v>
      </c>
      <c r="C168" s="351" t="s">
        <v>42</v>
      </c>
      <c r="D168" s="59" t="s">
        <v>223</v>
      </c>
      <c r="E168" s="59" t="s">
        <v>66</v>
      </c>
      <c r="F168" s="60" t="s">
        <v>67</v>
      </c>
    </row>
    <row r="169" spans="1:7" x14ac:dyDescent="0.2">
      <c r="A169" s="355" t="s">
        <v>214</v>
      </c>
      <c r="B169" s="529" t="s">
        <v>59</v>
      </c>
      <c r="C169" s="508">
        <f>C84</f>
        <v>1</v>
      </c>
      <c r="D169" s="309">
        <v>600</v>
      </c>
      <c r="E169" s="306">
        <f>+D169*C169</f>
        <v>600</v>
      </c>
      <c r="F169" s="365"/>
    </row>
    <row r="170" spans="1:7" x14ac:dyDescent="0.2">
      <c r="A170" s="355" t="s">
        <v>61</v>
      </c>
      <c r="B170" s="529" t="s">
        <v>8</v>
      </c>
      <c r="C170" s="356">
        <v>60</v>
      </c>
      <c r="D170" s="77">
        <f>SUM(E169:E169)</f>
        <v>600</v>
      </c>
      <c r="E170" s="77">
        <f>+D170/C170</f>
        <v>10</v>
      </c>
      <c r="F170" s="365"/>
    </row>
    <row r="171" spans="1:7" x14ac:dyDescent="0.2">
      <c r="A171" s="355" t="s">
        <v>215</v>
      </c>
      <c r="B171" s="356" t="s">
        <v>10</v>
      </c>
      <c r="C171" s="508">
        <f>+C169</f>
        <v>1</v>
      </c>
      <c r="D171" s="309">
        <v>120</v>
      </c>
      <c r="E171" s="306">
        <f>C171*D171</f>
        <v>120</v>
      </c>
      <c r="F171" s="365"/>
    </row>
    <row r="172" spans="1:7" ht="13.5" thickBot="1" x14ac:dyDescent="0.25">
      <c r="A172" s="355" t="s">
        <v>39</v>
      </c>
      <c r="B172" s="529" t="s">
        <v>8</v>
      </c>
      <c r="C172" s="356">
        <v>1</v>
      </c>
      <c r="D172" s="77">
        <f>+E171</f>
        <v>120</v>
      </c>
      <c r="E172" s="77">
        <f>+D172/C172</f>
        <v>120</v>
      </c>
      <c r="F172" s="365"/>
    </row>
    <row r="173" spans="1:7" ht="13.5" thickBot="1" x14ac:dyDescent="0.25">
      <c r="A173" s="505"/>
      <c r="B173" s="505"/>
      <c r="C173" s="505"/>
      <c r="D173" s="307" t="s">
        <v>184</v>
      </c>
      <c r="E173" s="334">
        <f>$B$39</f>
        <v>0.17045454545454544</v>
      </c>
      <c r="F173" s="21">
        <f>(E170+E172)*E173</f>
        <v>22.159090909090907</v>
      </c>
    </row>
    <row r="174" spans="1:7" s="530" customFormat="1" ht="11.25" customHeight="1" thickBot="1" x14ac:dyDescent="0.25">
      <c r="A174" s="341"/>
      <c r="B174" s="341"/>
      <c r="C174" s="341"/>
      <c r="D174" s="305"/>
      <c r="E174" s="305"/>
      <c r="F174" s="305"/>
      <c r="G174" s="79"/>
    </row>
    <row r="175" spans="1:7" ht="13.5" thickBot="1" x14ac:dyDescent="0.25">
      <c r="A175" s="358" t="s">
        <v>213</v>
      </c>
      <c r="B175" s="359"/>
      <c r="C175" s="359"/>
      <c r="D175" s="26"/>
      <c r="E175" s="27"/>
      <c r="F175" s="21">
        <f>+F173</f>
        <v>22.159090909090907</v>
      </c>
    </row>
    <row r="176" spans="1:7" ht="11.25" customHeight="1" thickBot="1" x14ac:dyDescent="0.25"/>
    <row r="177" spans="1:7" ht="17.25" customHeight="1" thickBot="1" x14ac:dyDescent="0.25">
      <c r="A177" s="358" t="s">
        <v>218</v>
      </c>
      <c r="B177" s="360"/>
      <c r="C177" s="360"/>
      <c r="D177" s="361"/>
      <c r="E177" s="362"/>
      <c r="F177" s="22">
        <f>+F64+F78+F156+F164+F175</f>
        <v>5703.017512645758</v>
      </c>
    </row>
    <row r="178" spans="1:7" ht="11.25" customHeight="1" x14ac:dyDescent="0.2"/>
    <row r="179" spans="1:7" x14ac:dyDescent="0.2">
      <c r="A179" s="340" t="s">
        <v>532</v>
      </c>
    </row>
    <row r="180" spans="1:7" ht="11.25" customHeight="1" thickBot="1" x14ac:dyDescent="0.25"/>
    <row r="181" spans="1:7" ht="13.5" thickBot="1" x14ac:dyDescent="0.25">
      <c r="A181" s="350" t="s">
        <v>64</v>
      </c>
      <c r="B181" s="351" t="s">
        <v>65</v>
      </c>
      <c r="C181" s="351" t="s">
        <v>42</v>
      </c>
      <c r="D181" s="59" t="s">
        <v>223</v>
      </c>
      <c r="E181" s="59" t="s">
        <v>66</v>
      </c>
      <c r="F181" s="60" t="s">
        <v>67</v>
      </c>
    </row>
    <row r="182" spans="1:7" ht="13.5" thickBot="1" x14ac:dyDescent="0.25">
      <c r="A182" s="352" t="s">
        <v>38</v>
      </c>
      <c r="B182" s="353" t="s">
        <v>2</v>
      </c>
      <c r="C182" s="357">
        <f>'8.BDI'!C21*100</f>
        <v>27.21</v>
      </c>
      <c r="D182" s="354">
        <f>+F177</f>
        <v>5703.017512645758</v>
      </c>
      <c r="E182" s="354">
        <f>C182*D182/100</f>
        <v>1551.7910651909108</v>
      </c>
    </row>
    <row r="183" spans="1:7" ht="13.5" thickBot="1" x14ac:dyDescent="0.25">
      <c r="F183" s="21">
        <f>+E182</f>
        <v>1551.7910651909108</v>
      </c>
    </row>
    <row r="184" spans="1:7" ht="11.25" customHeight="1" thickBot="1" x14ac:dyDescent="0.25"/>
    <row r="185" spans="1:7" ht="13.5" thickBot="1" x14ac:dyDescent="0.25">
      <c r="A185" s="358" t="s">
        <v>228</v>
      </c>
      <c r="B185" s="360"/>
      <c r="C185" s="360"/>
      <c r="D185" s="361"/>
      <c r="E185" s="362"/>
      <c r="F185" s="22">
        <f>F183</f>
        <v>1551.7910651909108</v>
      </c>
    </row>
    <row r="186" spans="1:7" x14ac:dyDescent="0.2">
      <c r="A186" s="340"/>
      <c r="B186" s="340"/>
      <c r="C186" s="340"/>
      <c r="D186" s="34"/>
      <c r="E186" s="34"/>
      <c r="F186" s="33"/>
    </row>
    <row r="187" spans="1:7" ht="11.25" customHeight="1" thickBot="1" x14ac:dyDescent="0.25"/>
    <row r="188" spans="1:7" ht="24.75" customHeight="1" thickBot="1" x14ac:dyDescent="0.25">
      <c r="A188" s="358" t="s">
        <v>219</v>
      </c>
      <c r="B188" s="360"/>
      <c r="C188" s="360"/>
      <c r="D188" s="361"/>
      <c r="E188" s="362"/>
      <c r="F188" s="22">
        <f>F177+F185</f>
        <v>7254.8085778366685</v>
      </c>
    </row>
    <row r="189" spans="1:7" ht="12.6" customHeight="1" x14ac:dyDescent="0.2">
      <c r="A189" s="439"/>
      <c r="B189" s="439"/>
      <c r="C189" s="531"/>
      <c r="D189" s="532"/>
      <c r="E189" s="532"/>
      <c r="F189" s="54"/>
    </row>
    <row r="190" spans="1:7" ht="15.6" customHeight="1" x14ac:dyDescent="0.2">
      <c r="A190" s="38"/>
      <c r="B190" s="305"/>
      <c r="C190" s="305"/>
      <c r="G190" s="6"/>
    </row>
    <row r="220" s="341" customFormat="1" ht="9" customHeight="1" x14ac:dyDescent="0.2"/>
  </sheetData>
  <mergeCells count="7">
    <mergeCell ref="A35:D35"/>
    <mergeCell ref="A6:F6"/>
    <mergeCell ref="A7:F7"/>
    <mergeCell ref="A9:F9"/>
    <mergeCell ref="A15:C15"/>
    <mergeCell ref="A30:E30"/>
    <mergeCell ref="A31:D31"/>
  </mergeCells>
  <hyperlinks>
    <hyperlink ref="A98" location="AbaRemun" display="3.1.2. Remuneração do Capital"/>
    <hyperlink ref="A82" location="AbaDeprec" display="3.1.1. Depreciação"/>
  </hyperlinks>
  <pageMargins left="0.9055118110236221" right="0.51181102362204722" top="0.74803149606299213" bottom="0.74803149606299213" header="0.31496062992125984" footer="0.31496062992125984"/>
  <pageSetup paperSize="9" scale="77" fitToHeight="3" orientation="portrait" r:id="rId1"/>
  <headerFooter alignWithMargins="0">
    <oddFooter>&amp;R&amp;P de &amp;N</oddFooter>
  </headerFooter>
  <rowBreaks count="2" manualBreakCount="2">
    <brk id="65" max="5" man="1"/>
    <brk id="122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topLeftCell="A19" zoomScaleSheetLayoutView="100" workbookViewId="0">
      <selection activeCell="A15" sqref="A15"/>
    </sheetView>
  </sheetViews>
  <sheetFormatPr defaultColWidth="9.140625" defaultRowHeight="12.75" x14ac:dyDescent="0.2"/>
  <cols>
    <col min="1" max="1" width="44.5703125" style="341" customWidth="1"/>
    <col min="2" max="2" width="16" style="341" bestFit="1" customWidth="1"/>
    <col min="3" max="3" width="11.85546875" style="341" customWidth="1"/>
    <col min="4" max="4" width="14.7109375" style="305" customWidth="1"/>
    <col min="5" max="5" width="15.42578125" style="305" customWidth="1"/>
    <col min="6" max="6" width="12.42578125" style="305" customWidth="1"/>
    <col min="7" max="7" width="28.140625" style="305" customWidth="1"/>
    <col min="8" max="8" width="9.140625" style="341"/>
    <col min="9" max="9" width="14.5703125" style="341" customWidth="1"/>
    <col min="10" max="10" width="13.42578125" style="341" customWidth="1"/>
    <col min="11" max="16384" width="9.140625" style="341"/>
  </cols>
  <sheetData>
    <row r="1" spans="1:7" hidden="1" x14ac:dyDescent="0.2">
      <c r="A1" s="340" t="s">
        <v>191</v>
      </c>
    </row>
    <row r="2" spans="1:7" hidden="1" x14ac:dyDescent="0.2">
      <c r="A2" s="342" t="s">
        <v>394</v>
      </c>
    </row>
    <row r="3" spans="1:7" hidden="1" x14ac:dyDescent="0.2">
      <c r="A3" s="341" t="s">
        <v>192</v>
      </c>
    </row>
    <row r="4" spans="1:7" hidden="1" x14ac:dyDescent="0.2">
      <c r="A4" s="342" t="s">
        <v>395</v>
      </c>
    </row>
    <row r="5" spans="1:7" ht="16.5" customHeight="1" thickBot="1" x14ac:dyDescent="0.25">
      <c r="A5" s="138" t="s">
        <v>472</v>
      </c>
      <c r="B5" s="342"/>
      <c r="C5" s="342"/>
      <c r="D5" s="6"/>
      <c r="E5" s="6"/>
      <c r="F5" s="6"/>
      <c r="G5" s="6"/>
    </row>
    <row r="6" spans="1:7" s="343" customFormat="1" ht="18" x14ac:dyDescent="0.2">
      <c r="A6" s="605" t="s">
        <v>539</v>
      </c>
      <c r="B6" s="606"/>
      <c r="C6" s="606"/>
      <c r="D6" s="606"/>
      <c r="E6" s="606"/>
      <c r="F6" s="607"/>
      <c r="G6" s="35"/>
    </row>
    <row r="7" spans="1:7" s="343" customFormat="1" ht="21.75" customHeight="1" x14ac:dyDescent="0.2">
      <c r="A7" s="608" t="s">
        <v>45</v>
      </c>
      <c r="B7" s="609"/>
      <c r="C7" s="609"/>
      <c r="D7" s="609"/>
      <c r="E7" s="609"/>
      <c r="F7" s="610"/>
      <c r="G7" s="35"/>
    </row>
    <row r="8" spans="1:7" ht="10.9" customHeight="1" thickBot="1" x14ac:dyDescent="0.25">
      <c r="A8" s="344"/>
      <c r="B8" s="342"/>
      <c r="C8" s="342"/>
      <c r="D8" s="140"/>
      <c r="E8" s="140"/>
      <c r="F8" s="141"/>
      <c r="G8" s="6"/>
    </row>
    <row r="9" spans="1:7" ht="15.75" customHeight="1" thickBot="1" x14ac:dyDescent="0.25">
      <c r="A9" s="599" t="s">
        <v>190</v>
      </c>
      <c r="B9" s="600"/>
      <c r="C9" s="600"/>
      <c r="D9" s="600"/>
      <c r="E9" s="600"/>
      <c r="F9" s="601"/>
      <c r="G9" s="6"/>
    </row>
    <row r="10" spans="1:7" ht="15.75" customHeight="1" x14ac:dyDescent="0.2">
      <c r="A10" s="61" t="s">
        <v>189</v>
      </c>
      <c r="B10" s="39"/>
      <c r="C10" s="39"/>
      <c r="D10" s="239"/>
      <c r="E10" s="108" t="s">
        <v>40</v>
      </c>
      <c r="F10" s="40" t="s">
        <v>2</v>
      </c>
      <c r="G10" s="6"/>
    </row>
    <row r="11" spans="1:7" s="340" customFormat="1" ht="15.75" customHeight="1" x14ac:dyDescent="0.2">
      <c r="A11" s="128" t="str">
        <f>A17</f>
        <v xml:space="preserve">1. Destinação final </v>
      </c>
      <c r="B11" s="346"/>
      <c r="C11" s="119"/>
      <c r="D11" s="119"/>
      <c r="E11" s="345">
        <f>+F23</f>
        <v>10539.397500000001</v>
      </c>
      <c r="F11" s="120">
        <f>IFERROR(E11/$E$13,0)</f>
        <v>0.86520159197092916</v>
      </c>
      <c r="G11" s="43"/>
    </row>
    <row r="12" spans="1:7" s="340" customFormat="1" ht="15.75" customHeight="1" thickBot="1" x14ac:dyDescent="0.25">
      <c r="A12" s="128" t="str">
        <f>A28</f>
        <v>2. Benefícios e Despesas Indiretas - BDI</v>
      </c>
      <c r="B12" s="346"/>
      <c r="C12" s="119"/>
      <c r="D12" s="119"/>
      <c r="E12" s="347">
        <f>+F34</f>
        <v>1642.0381305000003</v>
      </c>
      <c r="F12" s="120">
        <f>IFERROR(E12/$E$13,0)</f>
        <v>0.13479840802907078</v>
      </c>
      <c r="G12" s="43"/>
    </row>
    <row r="13" spans="1:7" ht="15.75" customHeight="1" thickBot="1" x14ac:dyDescent="0.25">
      <c r="A13" s="41" t="s">
        <v>402</v>
      </c>
      <c r="B13" s="348"/>
      <c r="C13" s="26"/>
      <c r="D13" s="26"/>
      <c r="E13" s="349">
        <f>E11+E12</f>
        <v>12181.435630500002</v>
      </c>
      <c r="F13" s="133">
        <f>F11+F12</f>
        <v>1</v>
      </c>
      <c r="G13" s="6"/>
    </row>
    <row r="16" spans="1:7" ht="11.25" customHeight="1" x14ac:dyDescent="0.2">
      <c r="G16" s="341"/>
    </row>
    <row r="17" spans="1:7" x14ac:dyDescent="0.2">
      <c r="A17" s="340" t="s">
        <v>400</v>
      </c>
      <c r="B17" s="340"/>
      <c r="C17" s="340"/>
      <c r="D17" s="34"/>
      <c r="E17" s="34"/>
      <c r="F17" s="33"/>
      <c r="G17" s="341"/>
    </row>
    <row r="18" spans="1:7" ht="11.25" customHeight="1" thickBot="1" x14ac:dyDescent="0.25">
      <c r="G18" s="341"/>
    </row>
    <row r="19" spans="1:7" ht="13.5" thickBot="1" x14ac:dyDescent="0.25">
      <c r="A19" s="350" t="s">
        <v>64</v>
      </c>
      <c r="B19" s="351" t="s">
        <v>65</v>
      </c>
      <c r="C19" s="351" t="s">
        <v>42</v>
      </c>
      <c r="D19" s="59" t="s">
        <v>223</v>
      </c>
      <c r="E19" s="59" t="s">
        <v>66</v>
      </c>
      <c r="F19" s="60" t="s">
        <v>67</v>
      </c>
      <c r="G19" s="341"/>
    </row>
    <row r="20" spans="1:7" ht="13.5" thickBot="1" x14ac:dyDescent="0.25">
      <c r="A20" s="355" t="s">
        <v>396</v>
      </c>
      <c r="B20" s="356" t="s">
        <v>397</v>
      </c>
      <c r="C20" s="364">
        <f>'10. Ton'!C25</f>
        <v>70.262650000000008</v>
      </c>
      <c r="D20" s="284">
        <v>150</v>
      </c>
      <c r="E20" s="306">
        <f>C20*D20</f>
        <v>10539.397500000001</v>
      </c>
      <c r="F20" s="365"/>
      <c r="G20" s="341"/>
    </row>
    <row r="21" spans="1:7" ht="13.5" thickBot="1" x14ac:dyDescent="0.25">
      <c r="A21" s="340"/>
      <c r="B21" s="340"/>
      <c r="C21" s="340"/>
      <c r="D21" s="340"/>
      <c r="E21" s="34"/>
      <c r="F21" s="21">
        <f>SUM(E20:E20)</f>
        <v>10539.397500000001</v>
      </c>
      <c r="G21" s="341"/>
    </row>
    <row r="22" spans="1:7" ht="11.25" customHeight="1" thickBot="1" x14ac:dyDescent="0.25">
      <c r="G22" s="341"/>
    </row>
    <row r="23" spans="1:7" ht="13.5" thickBot="1" x14ac:dyDescent="0.25">
      <c r="A23" s="358" t="s">
        <v>398</v>
      </c>
      <c r="B23" s="359"/>
      <c r="C23" s="359"/>
      <c r="D23" s="26"/>
      <c r="E23" s="27"/>
      <c r="F23" s="21">
        <f>+F21</f>
        <v>10539.397500000001</v>
      </c>
      <c r="G23" s="341"/>
    </row>
    <row r="24" spans="1:7" ht="11.25" customHeight="1" x14ac:dyDescent="0.2">
      <c r="G24" s="341"/>
    </row>
    <row r="25" spans="1:7" ht="11.25" customHeight="1" thickBot="1" x14ac:dyDescent="0.25"/>
    <row r="26" spans="1:7" ht="17.25" customHeight="1" thickBot="1" x14ac:dyDescent="0.25">
      <c r="A26" s="358" t="s">
        <v>218</v>
      </c>
      <c r="B26" s="360"/>
      <c r="C26" s="360"/>
      <c r="D26" s="361"/>
      <c r="E26" s="362"/>
      <c r="F26" s="22">
        <f>F23</f>
        <v>10539.397500000001</v>
      </c>
    </row>
    <row r="27" spans="1:7" ht="11.25" customHeight="1" x14ac:dyDescent="0.2"/>
    <row r="28" spans="1:7" x14ac:dyDescent="0.2">
      <c r="A28" s="340" t="s">
        <v>412</v>
      </c>
    </row>
    <row r="29" spans="1:7" ht="11.25" customHeight="1" thickBot="1" x14ac:dyDescent="0.25"/>
    <row r="30" spans="1:7" ht="13.5" thickBot="1" x14ac:dyDescent="0.25">
      <c r="A30" s="350" t="s">
        <v>64</v>
      </c>
      <c r="B30" s="351" t="s">
        <v>65</v>
      </c>
      <c r="C30" s="351" t="s">
        <v>42</v>
      </c>
      <c r="D30" s="59" t="s">
        <v>223</v>
      </c>
      <c r="E30" s="59" t="s">
        <v>66</v>
      </c>
      <c r="F30" s="60" t="s">
        <v>67</v>
      </c>
    </row>
    <row r="31" spans="1:7" ht="13.5" thickBot="1" x14ac:dyDescent="0.25">
      <c r="A31" s="352" t="s">
        <v>38</v>
      </c>
      <c r="B31" s="353" t="s">
        <v>2</v>
      </c>
      <c r="C31" s="357">
        <f>'9.BDI Aterro'!C21*100</f>
        <v>15.58</v>
      </c>
      <c r="D31" s="354">
        <f>+F26</f>
        <v>10539.397500000001</v>
      </c>
      <c r="E31" s="354">
        <f>C31*D31/100</f>
        <v>1642.0381305000003</v>
      </c>
    </row>
    <row r="32" spans="1:7" ht="13.5" thickBot="1" x14ac:dyDescent="0.25">
      <c r="F32" s="21">
        <f>+E31</f>
        <v>1642.0381305000003</v>
      </c>
    </row>
    <row r="33" spans="1:7" ht="11.25" customHeight="1" thickBot="1" x14ac:dyDescent="0.25"/>
    <row r="34" spans="1:7" ht="13.5" thickBot="1" x14ac:dyDescent="0.25">
      <c r="A34" s="358" t="s">
        <v>228</v>
      </c>
      <c r="B34" s="360"/>
      <c r="C34" s="360"/>
      <c r="D34" s="361"/>
      <c r="E34" s="362"/>
      <c r="F34" s="22">
        <f>F32</f>
        <v>1642.0381305000003</v>
      </c>
    </row>
    <row r="35" spans="1:7" x14ac:dyDescent="0.2">
      <c r="A35" s="340"/>
      <c r="B35" s="340"/>
      <c r="C35" s="340"/>
      <c r="D35" s="34"/>
      <c r="E35" s="34"/>
      <c r="F35" s="33"/>
    </row>
    <row r="36" spans="1:7" ht="11.25" customHeight="1" thickBot="1" x14ac:dyDescent="0.25"/>
    <row r="37" spans="1:7" ht="24.75" customHeight="1" x14ac:dyDescent="0.2">
      <c r="A37" s="366" t="s">
        <v>219</v>
      </c>
      <c r="B37" s="367"/>
      <c r="C37" s="367"/>
      <c r="D37" s="368"/>
      <c r="E37" s="369"/>
      <c r="F37" s="370">
        <f>F26+F34</f>
        <v>12181.435630500002</v>
      </c>
    </row>
    <row r="38" spans="1:7" ht="12.6" customHeight="1" x14ac:dyDescent="0.2">
      <c r="A38" s="371" t="s">
        <v>399</v>
      </c>
      <c r="B38" s="372"/>
      <c r="C38" s="373"/>
      <c r="D38" s="374"/>
      <c r="E38" s="374">
        <f>F37/C20</f>
        <v>173.37</v>
      </c>
      <c r="F38" s="375"/>
    </row>
    <row r="39" spans="1:7" ht="9.75" customHeight="1" x14ac:dyDescent="0.2">
      <c r="A39" s="38"/>
      <c r="B39" s="305"/>
      <c r="C39" s="305"/>
      <c r="G39" s="6"/>
    </row>
    <row r="41" spans="1:7" x14ac:dyDescent="0.2">
      <c r="F41" s="363"/>
    </row>
    <row r="69" s="341" customFormat="1" ht="9" customHeight="1" x14ac:dyDescent="0.2"/>
  </sheetData>
  <mergeCells count="3">
    <mergeCell ref="A6:F6"/>
    <mergeCell ref="A7:F7"/>
    <mergeCell ref="A9:F9"/>
  </mergeCells>
  <pageMargins left="0.9055118110236221" right="0.51181102362204722" top="0.74803149606299213" bottom="0.74803149606299213" header="0.31496062992125984" footer="0.31496062992125984"/>
  <pageSetup paperSize="9" scale="76" orientation="portrait" r:id="rId1"/>
  <headerFooter alignWithMargins="0">
    <oddFooter>&amp;R&amp;P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15" sqref="A15"/>
    </sheetView>
  </sheetViews>
  <sheetFormatPr defaultColWidth="9.140625" defaultRowHeight="12.75" x14ac:dyDescent="0.2"/>
  <cols>
    <col min="1" max="1" width="13.5703125" style="1" customWidth="1"/>
    <col min="2" max="2" width="39.5703125" style="1" bestFit="1" customWidth="1"/>
    <col min="3" max="3" width="20.85546875" style="1" customWidth="1"/>
    <col min="4" max="4" width="37.28515625" style="1" customWidth="1"/>
    <col min="5" max="10" width="9.140625" style="1"/>
    <col min="11" max="11" width="11" style="1" bestFit="1" customWidth="1"/>
    <col min="12" max="16384" width="9.140625" style="1"/>
  </cols>
  <sheetData>
    <row r="1" spans="1:7" x14ac:dyDescent="0.2">
      <c r="A1" s="11" t="s">
        <v>191</v>
      </c>
    </row>
    <row r="2" spans="1:7" x14ac:dyDescent="0.2">
      <c r="A2" s="130" t="s">
        <v>235</v>
      </c>
    </row>
    <row r="3" spans="1:7" s="4" customFormat="1" ht="15.6" customHeight="1" x14ac:dyDescent="0.2">
      <c r="B3" s="5"/>
      <c r="C3" s="5"/>
      <c r="D3" s="5"/>
      <c r="E3" s="5"/>
      <c r="F3" s="5"/>
      <c r="G3" s="6"/>
    </row>
    <row r="4" spans="1:7" s="4" customFormat="1" ht="15.6" hidden="1" customHeight="1" x14ac:dyDescent="0.2">
      <c r="A4" s="275" t="s">
        <v>284</v>
      </c>
      <c r="B4" s="5"/>
      <c r="C4" s="5"/>
      <c r="D4" s="5"/>
      <c r="E4" s="5"/>
      <c r="F4" s="5"/>
      <c r="G4" s="6"/>
    </row>
    <row r="5" spans="1:7" s="4" customFormat="1" ht="16.5" customHeight="1" x14ac:dyDescent="0.2">
      <c r="A5" s="303" t="s">
        <v>304</v>
      </c>
      <c r="B5" s="5"/>
      <c r="C5" s="5"/>
      <c r="D5" s="6"/>
      <c r="E5" s="6"/>
      <c r="F5" s="6"/>
      <c r="G5" s="6"/>
    </row>
    <row r="6" spans="1:7" s="4" customFormat="1" ht="16.5" customHeight="1" x14ac:dyDescent="0.2">
      <c r="A6" s="303" t="s">
        <v>305</v>
      </c>
      <c r="B6" s="5"/>
      <c r="C6" s="5"/>
      <c r="D6" s="6"/>
      <c r="E6" s="6"/>
      <c r="F6" s="6"/>
      <c r="G6" s="6"/>
    </row>
    <row r="7" spans="1:7" ht="13.5" thickBot="1" x14ac:dyDescent="0.25"/>
    <row r="8" spans="1:7" ht="18" x14ac:dyDescent="0.2">
      <c r="A8" s="623" t="s">
        <v>361</v>
      </c>
      <c r="B8" s="624"/>
      <c r="C8" s="625"/>
      <c r="D8" s="138"/>
      <c r="E8" s="138"/>
      <c r="F8" s="138"/>
    </row>
    <row r="9" spans="1:7" ht="14.25" x14ac:dyDescent="0.2">
      <c r="A9" s="154" t="s">
        <v>130</v>
      </c>
      <c r="B9" s="155" t="s">
        <v>131</v>
      </c>
      <c r="C9" s="156" t="s">
        <v>132</v>
      </c>
      <c r="D9" s="157"/>
    </row>
    <row r="10" spans="1:7" ht="14.25" x14ac:dyDescent="0.2">
      <c r="A10" s="154" t="s">
        <v>133</v>
      </c>
      <c r="B10" s="155" t="s">
        <v>43</v>
      </c>
      <c r="C10" s="158">
        <v>0.2</v>
      </c>
      <c r="D10" s="157"/>
    </row>
    <row r="11" spans="1:7" ht="14.25" x14ac:dyDescent="0.2">
      <c r="A11" s="154" t="s">
        <v>134</v>
      </c>
      <c r="B11" s="155" t="s">
        <v>135</v>
      </c>
      <c r="C11" s="158">
        <v>1.4999999999999999E-2</v>
      </c>
      <c r="D11" s="157"/>
    </row>
    <row r="12" spans="1:7" ht="14.25" x14ac:dyDescent="0.2">
      <c r="A12" s="154" t="s">
        <v>136</v>
      </c>
      <c r="B12" s="155" t="s">
        <v>137</v>
      </c>
      <c r="C12" s="158">
        <v>0.01</v>
      </c>
      <c r="D12" s="157"/>
    </row>
    <row r="13" spans="1:7" ht="14.25" x14ac:dyDescent="0.2">
      <c r="A13" s="154" t="s">
        <v>138</v>
      </c>
      <c r="B13" s="155" t="s">
        <v>139</v>
      </c>
      <c r="C13" s="158">
        <v>2E-3</v>
      </c>
      <c r="D13" s="157"/>
    </row>
    <row r="14" spans="1:7" ht="14.25" x14ac:dyDescent="0.2">
      <c r="A14" s="154" t="s">
        <v>140</v>
      </c>
      <c r="B14" s="155" t="s">
        <v>141</v>
      </c>
      <c r="C14" s="158">
        <v>6.0000000000000001E-3</v>
      </c>
      <c r="D14" s="157"/>
    </row>
    <row r="15" spans="1:7" ht="14.25" x14ac:dyDescent="0.2">
      <c r="A15" s="154" t="s">
        <v>142</v>
      </c>
      <c r="B15" s="155" t="s">
        <v>143</v>
      </c>
      <c r="C15" s="158">
        <v>2.5000000000000001E-2</v>
      </c>
      <c r="D15" s="157"/>
    </row>
    <row r="16" spans="1:7" ht="14.25" x14ac:dyDescent="0.2">
      <c r="A16" s="154" t="s">
        <v>144</v>
      </c>
      <c r="B16" s="155" t="s">
        <v>145</v>
      </c>
      <c r="C16" s="158">
        <v>0.03</v>
      </c>
      <c r="D16" s="157"/>
    </row>
    <row r="17" spans="1:8" ht="14.25" x14ac:dyDescent="0.2">
      <c r="A17" s="154" t="s">
        <v>146</v>
      </c>
      <c r="B17" s="155" t="s">
        <v>44</v>
      </c>
      <c r="C17" s="158">
        <v>0.08</v>
      </c>
      <c r="D17" s="157"/>
    </row>
    <row r="18" spans="1:8" ht="15" x14ac:dyDescent="0.2">
      <c r="A18" s="154" t="s">
        <v>147</v>
      </c>
      <c r="B18" s="159" t="s">
        <v>148</v>
      </c>
      <c r="C18" s="160">
        <f>SUM(C10:C17)</f>
        <v>0.36800000000000005</v>
      </c>
      <c r="D18" s="157"/>
    </row>
    <row r="19" spans="1:8" ht="15" x14ac:dyDescent="0.2">
      <c r="A19" s="161"/>
      <c r="B19" s="162"/>
      <c r="C19" s="163"/>
      <c r="D19" s="157"/>
    </row>
    <row r="20" spans="1:8" ht="14.25" x14ac:dyDescent="0.2">
      <c r="A20" s="154" t="s">
        <v>149</v>
      </c>
      <c r="B20" s="164" t="s">
        <v>150</v>
      </c>
      <c r="C20" s="158">
        <f>ROUND(IF('7.CAGED'!C32&gt;24,(1-12/'7.CAGED'!C32)*0.1111,0.1111-C29),4)</f>
        <v>6.5699999999999995E-2</v>
      </c>
      <c r="D20" s="157"/>
    </row>
    <row r="21" spans="1:8" ht="14.25" x14ac:dyDescent="0.2">
      <c r="A21" s="154" t="s">
        <v>151</v>
      </c>
      <c r="B21" s="164" t="s">
        <v>152</v>
      </c>
      <c r="C21" s="158">
        <f>ROUND('7.CAGED'!C36/'7.CAGED'!C33,4)</f>
        <v>8.3299999999999999E-2</v>
      </c>
      <c r="D21" s="157"/>
    </row>
    <row r="22" spans="1:8" ht="14.25" x14ac:dyDescent="0.2">
      <c r="A22" s="154" t="s">
        <v>211</v>
      </c>
      <c r="B22" s="164" t="s">
        <v>154</v>
      </c>
      <c r="C22" s="158">
        <v>5.9999999999999995E-4</v>
      </c>
      <c r="D22" s="157"/>
    </row>
    <row r="23" spans="1:8" ht="14.25" x14ac:dyDescent="0.2">
      <c r="A23" s="154" t="s">
        <v>153</v>
      </c>
      <c r="B23" s="164" t="s">
        <v>156</v>
      </c>
      <c r="C23" s="158">
        <v>8.2000000000000007E-3</v>
      </c>
      <c r="D23" s="157"/>
    </row>
    <row r="24" spans="1:8" ht="14.25" x14ac:dyDescent="0.2">
      <c r="A24" s="154" t="s">
        <v>155</v>
      </c>
      <c r="B24" s="164" t="s">
        <v>158</v>
      </c>
      <c r="C24" s="158">
        <v>3.0999999999999999E-3</v>
      </c>
      <c r="D24" s="157"/>
    </row>
    <row r="25" spans="1:8" ht="14.25" x14ac:dyDescent="0.2">
      <c r="A25" s="154" t="s">
        <v>157</v>
      </c>
      <c r="B25" s="164" t="s">
        <v>159</v>
      </c>
      <c r="C25" s="158">
        <v>1.2E-2</v>
      </c>
      <c r="D25" s="157"/>
    </row>
    <row r="26" spans="1:8" ht="15" x14ac:dyDescent="0.2">
      <c r="A26" s="154" t="s">
        <v>160</v>
      </c>
      <c r="B26" s="159" t="s">
        <v>161</v>
      </c>
      <c r="C26" s="160">
        <f>SUM(C20:C25)</f>
        <v>0.1729</v>
      </c>
      <c r="D26" s="165"/>
    </row>
    <row r="27" spans="1:8" ht="15" x14ac:dyDescent="0.2">
      <c r="A27" s="161"/>
      <c r="B27" s="162"/>
      <c r="C27" s="163"/>
      <c r="D27" s="165"/>
    </row>
    <row r="28" spans="1:8" ht="14.25" x14ac:dyDescent="0.2">
      <c r="A28" s="154" t="s">
        <v>162</v>
      </c>
      <c r="B28" s="155" t="s">
        <v>163</v>
      </c>
      <c r="C28" s="158">
        <v>2.1000000000000001E-2</v>
      </c>
      <c r="D28" s="157"/>
      <c r="E28" s="166"/>
    </row>
    <row r="29" spans="1:8" ht="14.25" x14ac:dyDescent="0.2">
      <c r="A29" s="154" t="s">
        <v>210</v>
      </c>
      <c r="B29" s="155" t="s">
        <v>165</v>
      </c>
      <c r="C29" s="158">
        <f>ROUND(IF('7.CAGED'!C32&gt;12,12/'7.CAGED'!C32*0.1111,0.1111),4)</f>
        <v>4.5400000000000003E-2</v>
      </c>
      <c r="D29" s="157"/>
      <c r="H29" s="167"/>
    </row>
    <row r="30" spans="1:8" ht="14.25" x14ac:dyDescent="0.2">
      <c r="A30" s="154" t="s">
        <v>164</v>
      </c>
      <c r="B30" s="155" t="s">
        <v>167</v>
      </c>
      <c r="C30" s="158">
        <f>C28*C29</f>
        <v>9.5340000000000008E-4</v>
      </c>
      <c r="D30" s="157"/>
      <c r="E30" s="166"/>
    </row>
    <row r="31" spans="1:8" ht="14.25" x14ac:dyDescent="0.2">
      <c r="A31" s="154" t="s">
        <v>166</v>
      </c>
      <c r="B31" s="155" t="s">
        <v>169</v>
      </c>
      <c r="C31" s="158">
        <v>1.7999999999999999E-2</v>
      </c>
      <c r="D31" s="157"/>
      <c r="G31" s="166"/>
    </row>
    <row r="32" spans="1:8" ht="14.25" x14ac:dyDescent="0.2">
      <c r="A32" s="154" t="s">
        <v>168</v>
      </c>
      <c r="B32" s="155" t="s">
        <v>170</v>
      </c>
      <c r="C32" s="158">
        <f>ROUND(('7.CAGED'!C35/'7.CAGED'!C33)*'7.CAGED'!C30/12,4)</f>
        <v>2E-3</v>
      </c>
      <c r="D32" s="157"/>
    </row>
    <row r="33" spans="1:4" ht="15" x14ac:dyDescent="0.2">
      <c r="A33" s="154" t="s">
        <v>171</v>
      </c>
      <c r="B33" s="159" t="s">
        <v>172</v>
      </c>
      <c r="C33" s="160">
        <f>SUM(C28:C32)</f>
        <v>8.7353400000000012E-2</v>
      </c>
      <c r="D33" s="165"/>
    </row>
    <row r="34" spans="1:4" ht="15" x14ac:dyDescent="0.2">
      <c r="A34" s="161"/>
      <c r="B34" s="162"/>
      <c r="C34" s="163"/>
      <c r="D34" s="165"/>
    </row>
    <row r="35" spans="1:4" ht="14.25" x14ac:dyDescent="0.2">
      <c r="A35" s="154" t="s">
        <v>173</v>
      </c>
      <c r="B35" s="155" t="s">
        <v>174</v>
      </c>
      <c r="C35" s="158">
        <f>ROUND(C18*C26,4)</f>
        <v>6.3600000000000004E-2</v>
      </c>
      <c r="D35" s="157"/>
    </row>
    <row r="36" spans="1:4" ht="28.5" x14ac:dyDescent="0.2">
      <c r="A36" s="154" t="s">
        <v>175</v>
      </c>
      <c r="B36" s="168" t="s">
        <v>280</v>
      </c>
      <c r="C36" s="158">
        <f>ROUND((C28*C17),4)</f>
        <v>1.6999999999999999E-3</v>
      </c>
      <c r="D36" s="157"/>
    </row>
    <row r="37" spans="1:4" ht="15" x14ac:dyDescent="0.2">
      <c r="A37" s="154" t="s">
        <v>176</v>
      </c>
      <c r="B37" s="159" t="s">
        <v>177</v>
      </c>
      <c r="C37" s="160">
        <f>SUM(C35:C36)</f>
        <v>6.5299999999999997E-2</v>
      </c>
      <c r="D37" s="165"/>
    </row>
    <row r="38" spans="1:4" ht="15.75" thickBot="1" x14ac:dyDescent="0.25">
      <c r="A38" s="169"/>
      <c r="B38" s="170" t="s">
        <v>178</v>
      </c>
      <c r="C38" s="171">
        <f>C37+C33+C26+C18</f>
        <v>0.6935534000000001</v>
      </c>
      <c r="D38" s="165"/>
    </row>
    <row r="39" spans="1:4" ht="15" x14ac:dyDescent="0.2">
      <c r="A39" s="157"/>
      <c r="B39" s="172"/>
      <c r="C39" s="173"/>
      <c r="D39" s="174"/>
    </row>
    <row r="40" spans="1:4" ht="14.25" x14ac:dyDescent="0.2">
      <c r="A40" s="157"/>
      <c r="B40" s="157"/>
      <c r="C40" s="175"/>
      <c r="D40" s="176"/>
    </row>
    <row r="41" spans="1:4" ht="14.25" x14ac:dyDescent="0.2">
      <c r="A41" s="157"/>
      <c r="B41" s="157"/>
      <c r="C41" s="175"/>
      <c r="D41" s="157"/>
    </row>
    <row r="42" spans="1:4" ht="14.25" x14ac:dyDescent="0.2">
      <c r="A42" s="157"/>
      <c r="B42" s="157"/>
      <c r="C42" s="175"/>
      <c r="D42" s="157"/>
    </row>
    <row r="43" spans="1:4" ht="14.25" x14ac:dyDescent="0.2">
      <c r="A43" s="157"/>
      <c r="B43" s="157"/>
      <c r="C43" s="175"/>
      <c r="D43" s="157"/>
    </row>
    <row r="44" spans="1:4" ht="15" x14ac:dyDescent="0.2">
      <c r="A44" s="157"/>
      <c r="B44" s="172"/>
      <c r="C44" s="173"/>
      <c r="D44" s="157"/>
    </row>
    <row r="45" spans="1:4" ht="15" x14ac:dyDescent="0.2">
      <c r="A45" s="165"/>
      <c r="B45" s="172"/>
      <c r="C45" s="173"/>
      <c r="D45" s="165"/>
    </row>
    <row r="46" spans="1:4" ht="16.5" x14ac:dyDescent="0.2">
      <c r="A46" s="177"/>
    </row>
    <row r="47" spans="1:4" x14ac:dyDescent="0.2">
      <c r="A47" s="178"/>
      <c r="B47" s="179"/>
      <c r="C47" s="179"/>
    </row>
    <row r="48" spans="1:4" ht="14.25" x14ac:dyDescent="0.2">
      <c r="A48" s="157"/>
      <c r="B48" s="180"/>
      <c r="C48" s="179"/>
    </row>
    <row r="49" spans="1:3" ht="14.25" x14ac:dyDescent="0.2">
      <c r="A49" s="157"/>
      <c r="B49" s="180"/>
      <c r="C49" s="157"/>
    </row>
    <row r="50" spans="1:3" ht="14.25" x14ac:dyDescent="0.2">
      <c r="A50" s="157"/>
      <c r="B50" s="175"/>
      <c r="C50" s="179"/>
    </row>
    <row r="51" spans="1:3" ht="14.25" x14ac:dyDescent="0.2">
      <c r="A51" s="157"/>
      <c r="B51" s="180"/>
      <c r="C51" s="157"/>
    </row>
    <row r="52" spans="1:3" ht="14.25" x14ac:dyDescent="0.2">
      <c r="A52" s="157"/>
      <c r="B52" s="175"/>
      <c r="C52" s="179"/>
    </row>
    <row r="53" spans="1:3" ht="14.25" x14ac:dyDescent="0.2">
      <c r="A53" s="157"/>
      <c r="B53" s="180"/>
      <c r="C53" s="157"/>
    </row>
    <row r="54" spans="1:3" ht="14.25" x14ac:dyDescent="0.2">
      <c r="A54" s="157"/>
      <c r="B54" s="175"/>
      <c r="C54" s="179"/>
    </row>
    <row r="55" spans="1:3" ht="14.25" x14ac:dyDescent="0.2">
      <c r="A55" s="157"/>
      <c r="B55" s="180"/>
      <c r="C55" s="157"/>
    </row>
    <row r="56" spans="1:3" ht="14.25" x14ac:dyDescent="0.2">
      <c r="A56" s="157"/>
      <c r="B56" s="175"/>
      <c r="C56" s="179"/>
    </row>
    <row r="57" spans="1:3" ht="16.5" x14ac:dyDescent="0.2">
      <c r="A57" s="177"/>
    </row>
    <row r="60" spans="1:3" x14ac:dyDescent="0.2">
      <c r="A60" s="181"/>
    </row>
  </sheetData>
  <mergeCells count="1">
    <mergeCell ref="A8:C8"/>
  </mergeCells>
  <pageMargins left="0.90551181102362199" right="0.5118110236220472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A15" sqref="A15"/>
    </sheetView>
  </sheetViews>
  <sheetFormatPr defaultColWidth="9.140625" defaultRowHeight="12.75" x14ac:dyDescent="0.2"/>
  <cols>
    <col min="1" max="1" width="8.5703125" style="1" customWidth="1"/>
    <col min="2" max="2" width="67.140625" style="1" customWidth="1"/>
    <col min="3" max="3" width="13.7109375" style="1" customWidth="1"/>
    <col min="4" max="4" width="10.28515625" style="1" customWidth="1"/>
    <col min="5" max="5" width="13.7109375" style="1" customWidth="1"/>
    <col min="6" max="16384" width="9.140625" style="1"/>
  </cols>
  <sheetData>
    <row r="1" spans="1:3" x14ac:dyDescent="0.2">
      <c r="A1" s="101" t="s">
        <v>229</v>
      </c>
    </row>
    <row r="3" spans="1:3" x14ac:dyDescent="0.2">
      <c r="A3" s="1" t="s">
        <v>199</v>
      </c>
    </row>
    <row r="4" spans="1:3" x14ac:dyDescent="0.2">
      <c r="A4" s="254" t="s">
        <v>195</v>
      </c>
    </row>
    <row r="5" spans="1:3" ht="25.5" customHeight="1" x14ac:dyDescent="0.2">
      <c r="A5" s="629" t="s">
        <v>244</v>
      </c>
      <c r="B5" s="628"/>
      <c r="C5" s="628"/>
    </row>
    <row r="6" spans="1:3" x14ac:dyDescent="0.2">
      <c r="A6" s="1" t="s">
        <v>196</v>
      </c>
    </row>
    <row r="7" spans="1:3" ht="26.25" customHeight="1" x14ac:dyDescent="0.2">
      <c r="A7" s="628" t="s">
        <v>197</v>
      </c>
      <c r="B7" s="628"/>
      <c r="C7" s="628"/>
    </row>
    <row r="8" spans="1:3" x14ac:dyDescent="0.2">
      <c r="A8" s="1" t="s">
        <v>198</v>
      </c>
    </row>
    <row r="9" spans="1:3" x14ac:dyDescent="0.2">
      <c r="A9" s="276" t="s">
        <v>230</v>
      </c>
    </row>
    <row r="10" spans="1:3" ht="13.5" thickBot="1" x14ac:dyDescent="0.25"/>
    <row r="11" spans="1:3" ht="18" x14ac:dyDescent="0.25">
      <c r="B11" s="626" t="s">
        <v>362</v>
      </c>
      <c r="C11" s="627"/>
    </row>
    <row r="12" spans="1:3" ht="15" x14ac:dyDescent="0.25">
      <c r="B12" s="143" t="s">
        <v>194</v>
      </c>
      <c r="C12" s="182"/>
    </row>
    <row r="13" spans="1:3" ht="15" x14ac:dyDescent="0.25">
      <c r="B13" s="144" t="s">
        <v>114</v>
      </c>
      <c r="C13" s="145">
        <v>1932</v>
      </c>
    </row>
    <row r="14" spans="1:3" ht="15" x14ac:dyDescent="0.25">
      <c r="B14" s="146" t="s">
        <v>115</v>
      </c>
      <c r="C14" s="145">
        <v>2197</v>
      </c>
    </row>
    <row r="15" spans="1:3" ht="14.25" x14ac:dyDescent="0.2">
      <c r="B15" s="183" t="s">
        <v>116</v>
      </c>
      <c r="C15" s="184">
        <v>25</v>
      </c>
    </row>
    <row r="16" spans="1:3" ht="14.25" x14ac:dyDescent="0.2">
      <c r="B16" s="183" t="s">
        <v>117</v>
      </c>
      <c r="C16" s="184">
        <v>1463</v>
      </c>
    </row>
    <row r="17" spans="1:5" ht="14.25" x14ac:dyDescent="0.2">
      <c r="B17" s="183" t="s">
        <v>118</v>
      </c>
      <c r="C17" s="184">
        <v>321</v>
      </c>
    </row>
    <row r="18" spans="1:5" ht="14.25" x14ac:dyDescent="0.2">
      <c r="B18" s="183" t="s">
        <v>119</v>
      </c>
      <c r="C18" s="184">
        <v>12</v>
      </c>
    </row>
    <row r="19" spans="1:5" ht="14.25" x14ac:dyDescent="0.2">
      <c r="B19" s="183" t="s">
        <v>120</v>
      </c>
      <c r="C19" s="184">
        <v>339</v>
      </c>
    </row>
    <row r="20" spans="1:5" ht="14.25" x14ac:dyDescent="0.2">
      <c r="B20" s="183" t="s">
        <v>121</v>
      </c>
      <c r="C20" s="184">
        <v>0</v>
      </c>
    </row>
    <row r="21" spans="1:5" ht="14.25" x14ac:dyDescent="0.2">
      <c r="B21" s="183" t="s">
        <v>122</v>
      </c>
      <c r="C21" s="184">
        <v>22</v>
      </c>
    </row>
    <row r="22" spans="1:5" ht="14.25" x14ac:dyDescent="0.2">
      <c r="B22" s="185" t="s">
        <v>123</v>
      </c>
      <c r="C22" s="186">
        <v>0</v>
      </c>
    </row>
    <row r="23" spans="1:5" ht="14.25" x14ac:dyDescent="0.2">
      <c r="B23" s="282" t="s">
        <v>287</v>
      </c>
      <c r="C23" s="186">
        <v>0</v>
      </c>
    </row>
    <row r="24" spans="1:5" ht="15" x14ac:dyDescent="0.25">
      <c r="A24" s="1" t="s">
        <v>124</v>
      </c>
      <c r="B24" s="143" t="s">
        <v>125</v>
      </c>
      <c r="C24" s="182"/>
    </row>
    <row r="25" spans="1:5" ht="14.25" x14ac:dyDescent="0.2">
      <c r="B25" s="187" t="s">
        <v>288</v>
      </c>
      <c r="C25" s="188">
        <v>5183</v>
      </c>
    </row>
    <row r="26" spans="1:5" ht="14.25" x14ac:dyDescent="0.2">
      <c r="B26" s="183" t="s">
        <v>289</v>
      </c>
      <c r="C26" s="184">
        <v>4918</v>
      </c>
    </row>
    <row r="27" spans="1:5" ht="14.25" x14ac:dyDescent="0.2">
      <c r="B27" s="183" t="s">
        <v>290</v>
      </c>
      <c r="C27" s="206">
        <f>C13-C14</f>
        <v>-265</v>
      </c>
    </row>
    <row r="28" spans="1:5" ht="14.25" x14ac:dyDescent="0.2">
      <c r="B28" s="189"/>
      <c r="C28" s="190"/>
    </row>
    <row r="29" spans="1:5" s="101" customFormat="1" ht="15" x14ac:dyDescent="0.25">
      <c r="B29" s="144" t="s">
        <v>127</v>
      </c>
      <c r="C29" s="191">
        <f>MEDIAN(C25,C26)</f>
        <v>5050.5</v>
      </c>
    </row>
    <row r="30" spans="1:5" ht="15" x14ac:dyDescent="0.25">
      <c r="B30" s="146" t="s">
        <v>285</v>
      </c>
      <c r="C30" s="280">
        <f>C16/C29</f>
        <v>0.28967428967428965</v>
      </c>
    </row>
    <row r="31" spans="1:5" ht="15" x14ac:dyDescent="0.25">
      <c r="B31" s="146" t="s">
        <v>286</v>
      </c>
      <c r="C31" s="280">
        <f>MEDIAN(C13,C14)/C29</f>
        <v>0.40877140877140877</v>
      </c>
      <c r="E31" s="254"/>
    </row>
    <row r="32" spans="1:5" s="101" customFormat="1" ht="15" x14ac:dyDescent="0.25">
      <c r="B32" s="146" t="s">
        <v>236</v>
      </c>
      <c r="C32" s="278">
        <f>12/C31</f>
        <v>29.356260595785905</v>
      </c>
    </row>
    <row r="33" spans="2:3" ht="15" x14ac:dyDescent="0.25">
      <c r="B33" s="146" t="s">
        <v>126</v>
      </c>
      <c r="C33" s="148">
        <v>360</v>
      </c>
    </row>
    <row r="34" spans="2:3" ht="15" x14ac:dyDescent="0.25">
      <c r="B34" s="146" t="s">
        <v>231</v>
      </c>
      <c r="C34" s="148">
        <v>10</v>
      </c>
    </row>
    <row r="35" spans="2:3" ht="15" x14ac:dyDescent="0.25">
      <c r="B35" s="144" t="s">
        <v>232</v>
      </c>
      <c r="C35" s="147">
        <v>30</v>
      </c>
    </row>
    <row r="36" spans="2:3" ht="15" x14ac:dyDescent="0.25">
      <c r="B36" s="144" t="s">
        <v>233</v>
      </c>
      <c r="C36" s="147">
        <v>30</v>
      </c>
    </row>
    <row r="37" spans="2:3" s="101" customFormat="1" ht="15" x14ac:dyDescent="0.25">
      <c r="B37" s="144" t="s">
        <v>129</v>
      </c>
      <c r="C37" s="147">
        <f>30+(3*TRUNC(1/C31))</f>
        <v>36</v>
      </c>
    </row>
    <row r="38" spans="2:3" s="101" customFormat="1" ht="15" x14ac:dyDescent="0.25">
      <c r="B38" s="146" t="s">
        <v>44</v>
      </c>
      <c r="C38" s="279">
        <v>0.08</v>
      </c>
    </row>
    <row r="39" spans="2:3" s="101" customFormat="1" ht="15.75" thickBot="1" x14ac:dyDescent="0.3">
      <c r="B39" s="149" t="s">
        <v>128</v>
      </c>
      <c r="C39" s="281">
        <v>0.4</v>
      </c>
    </row>
  </sheetData>
  <mergeCells count="3">
    <mergeCell ref="B11:C11"/>
    <mergeCell ref="A7:C7"/>
    <mergeCell ref="A5:C5"/>
  </mergeCells>
  <pageMargins left="0.90551181102362199" right="0.51181102362204722" top="0.74803149606299213" bottom="0.74803149606299213" header="0.31496062992125984" footer="0.31496062992125984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A15" sqref="A15"/>
    </sheetView>
  </sheetViews>
  <sheetFormatPr defaultRowHeight="12.75" x14ac:dyDescent="0.2"/>
  <cols>
    <col min="1" max="1" width="41.85546875" bestFit="1" customWidth="1"/>
    <col min="2" max="2" width="5.5703125" bestFit="1" customWidth="1"/>
    <col min="4" max="4" width="9.7109375" bestFit="1" customWidth="1"/>
    <col min="5" max="5" width="8" style="114" bestFit="1" customWidth="1"/>
    <col min="6" max="6" width="9.7109375" bestFit="1" customWidth="1"/>
  </cols>
  <sheetData>
    <row r="1" spans="1:8" s="135" customFormat="1" ht="14.25" x14ac:dyDescent="0.2">
      <c r="A1" s="11" t="s">
        <v>191</v>
      </c>
      <c r="B1" s="8"/>
      <c r="C1" s="8"/>
      <c r="E1" s="136"/>
    </row>
    <row r="2" spans="1:8" s="135" customFormat="1" ht="14.25" x14ac:dyDescent="0.2">
      <c r="A2" s="130" t="s">
        <v>237</v>
      </c>
      <c r="B2" s="8"/>
      <c r="C2" s="8"/>
      <c r="E2" s="136"/>
    </row>
    <row r="3" spans="1:8" s="135" customFormat="1" ht="14.25" x14ac:dyDescent="0.2">
      <c r="A3" s="9" t="s">
        <v>192</v>
      </c>
      <c r="B3" s="8"/>
      <c r="C3" s="8"/>
      <c r="E3" s="136"/>
    </row>
    <row r="4" spans="1:8" s="135" customFormat="1" ht="14.25" x14ac:dyDescent="0.2">
      <c r="A4" s="9"/>
      <c r="B4" s="8"/>
      <c r="C4" s="8"/>
      <c r="E4" s="136"/>
    </row>
    <row r="5" spans="1:8" s="4" customFormat="1" ht="15.6" hidden="1" customHeight="1" x14ac:dyDescent="0.2">
      <c r="A5" s="275" t="s">
        <v>284</v>
      </c>
      <c r="B5" s="5"/>
      <c r="C5" s="5"/>
      <c r="D5" s="5"/>
      <c r="E5" s="5"/>
      <c r="F5" s="5"/>
      <c r="G5" s="6"/>
    </row>
    <row r="6" spans="1:8" s="4" customFormat="1" ht="16.5" customHeight="1" x14ac:dyDescent="0.2">
      <c r="A6" s="303" t="s">
        <v>302</v>
      </c>
      <c r="B6" s="5"/>
      <c r="C6" s="5"/>
      <c r="D6" s="6"/>
      <c r="E6" s="6"/>
      <c r="F6" s="6"/>
      <c r="G6" s="6"/>
    </row>
    <row r="7" spans="1:8" s="4" customFormat="1" ht="16.5" customHeight="1" x14ac:dyDescent="0.2">
      <c r="A7" s="303" t="s">
        <v>303</v>
      </c>
      <c r="B7" s="5"/>
      <c r="C7" s="5"/>
      <c r="D7" s="6"/>
      <c r="E7" s="6"/>
      <c r="F7" s="6"/>
      <c r="G7" s="6"/>
    </row>
    <row r="8" spans="1:8" s="135" customFormat="1" ht="15" thickBot="1" x14ac:dyDescent="0.25">
      <c r="B8" s="8"/>
      <c r="C8" s="8"/>
      <c r="E8" s="136"/>
    </row>
    <row r="9" spans="1:8" ht="15.75" x14ac:dyDescent="0.2">
      <c r="A9" s="635" t="s">
        <v>363</v>
      </c>
      <c r="B9" s="636"/>
      <c r="C9" s="636"/>
      <c r="D9" s="636"/>
      <c r="E9" s="636"/>
      <c r="F9" s="637"/>
    </row>
    <row r="10" spans="1:8" ht="16.5" thickBot="1" x14ac:dyDescent="0.25">
      <c r="A10" s="241"/>
      <c r="B10" s="242"/>
      <c r="C10" s="242"/>
      <c r="D10" s="242"/>
      <c r="E10" s="242"/>
      <c r="F10" s="243"/>
    </row>
    <row r="11" spans="1:8" ht="15" x14ac:dyDescent="0.25">
      <c r="A11" s="192"/>
      <c r="B11" s="8"/>
      <c r="C11" s="8"/>
      <c r="D11" s="632" t="s">
        <v>234</v>
      </c>
      <c r="E11" s="633"/>
      <c r="F11" s="634"/>
      <c r="G11" s="135"/>
      <c r="H11" s="135"/>
    </row>
    <row r="12" spans="1:8" ht="15" thickBot="1" x14ac:dyDescent="0.25">
      <c r="A12" s="189"/>
      <c r="B12" s="135"/>
      <c r="C12" s="135"/>
      <c r="D12" s="193" t="s">
        <v>179</v>
      </c>
      <c r="E12" s="194" t="s">
        <v>180</v>
      </c>
      <c r="F12" s="195" t="s">
        <v>181</v>
      </c>
      <c r="G12" s="135"/>
      <c r="H12" s="135"/>
    </row>
    <row r="13" spans="1:8" ht="14.25" x14ac:dyDescent="0.2">
      <c r="A13" s="196" t="s">
        <v>75</v>
      </c>
      <c r="B13" s="197" t="s">
        <v>76</v>
      </c>
      <c r="C13" s="198">
        <v>0.06</v>
      </c>
      <c r="D13" s="219">
        <v>2.9700000000000001E-2</v>
      </c>
      <c r="E13" s="220">
        <v>5.0799999999999998E-2</v>
      </c>
      <c r="F13" s="221">
        <v>6.2700000000000006E-2</v>
      </c>
      <c r="G13" s="135"/>
      <c r="H13" s="135"/>
    </row>
    <row r="14" spans="1:8" ht="14.25" x14ac:dyDescent="0.2">
      <c r="A14" s="200" t="s">
        <v>77</v>
      </c>
      <c r="B14" s="201" t="s">
        <v>78</v>
      </c>
      <c r="C14" s="202">
        <v>1.3299999999999999E-2</v>
      </c>
      <c r="D14" s="219">
        <f>0.3%+0.56%</f>
        <v>8.6E-3</v>
      </c>
      <c r="E14" s="220">
        <f>0.48%+0.85%</f>
        <v>1.3299999999999999E-2</v>
      </c>
      <c r="F14" s="221">
        <f>0.82%+0.89%</f>
        <v>1.7099999999999997E-2</v>
      </c>
      <c r="G14" s="135"/>
      <c r="H14" s="135"/>
    </row>
    <row r="15" spans="1:8" ht="14.25" x14ac:dyDescent="0.2">
      <c r="A15" s="200" t="s">
        <v>79</v>
      </c>
      <c r="B15" s="201" t="s">
        <v>80</v>
      </c>
      <c r="C15" s="202">
        <v>0.11</v>
      </c>
      <c r="D15" s="219">
        <v>7.7799999999999994E-2</v>
      </c>
      <c r="E15" s="220">
        <v>0.1085</v>
      </c>
      <c r="F15" s="221">
        <v>0.13550000000000001</v>
      </c>
      <c r="G15" s="135"/>
      <c r="H15" s="135"/>
    </row>
    <row r="16" spans="1:8" ht="14.25" x14ac:dyDescent="0.2">
      <c r="A16" s="200" t="s">
        <v>81</v>
      </c>
      <c r="B16" s="201" t="s">
        <v>82</v>
      </c>
      <c r="C16" s="203">
        <f>(1+E16)^(E17/252)-1</f>
        <v>2.0727804702223018E-3</v>
      </c>
      <c r="D16" s="219" t="s">
        <v>272</v>
      </c>
      <c r="E16" s="204">
        <v>0.11</v>
      </c>
      <c r="F16" s="199"/>
      <c r="G16" s="135"/>
      <c r="H16" s="135"/>
    </row>
    <row r="17" spans="1:8" ht="14.25" x14ac:dyDescent="0.2">
      <c r="A17" s="200" t="s">
        <v>83</v>
      </c>
      <c r="B17" s="630" t="s">
        <v>84</v>
      </c>
      <c r="C17" s="202">
        <v>2.5000000000000001E-2</v>
      </c>
      <c r="D17" s="273" t="s">
        <v>182</v>
      </c>
      <c r="E17" s="205">
        <v>5</v>
      </c>
      <c r="F17" s="206"/>
      <c r="G17" s="135"/>
      <c r="H17" s="135"/>
    </row>
    <row r="18" spans="1:8" ht="15" thickBot="1" x14ac:dyDescent="0.25">
      <c r="A18" s="207" t="s">
        <v>347</v>
      </c>
      <c r="B18" s="631"/>
      <c r="C18" s="208">
        <v>3.6499999999999998E-2</v>
      </c>
      <c r="D18" s="183"/>
      <c r="E18" s="209"/>
      <c r="F18" s="206"/>
      <c r="G18" s="135"/>
      <c r="H18" s="135"/>
    </row>
    <row r="19" spans="1:8" ht="14.25" x14ac:dyDescent="0.2">
      <c r="A19" s="210" t="s">
        <v>85</v>
      </c>
      <c r="B19" s="211"/>
      <c r="C19" s="212"/>
      <c r="D19" s="183"/>
      <c r="E19" s="209"/>
      <c r="F19" s="206"/>
      <c r="G19" s="135"/>
      <c r="H19" s="135"/>
    </row>
    <row r="20" spans="1:8" ht="15" thickBot="1" x14ac:dyDescent="0.25">
      <c r="A20" s="213" t="s">
        <v>86</v>
      </c>
      <c r="B20" s="214"/>
      <c r="C20" s="215"/>
      <c r="D20" s="183"/>
      <c r="E20" s="209"/>
      <c r="F20" s="206"/>
      <c r="G20" s="135"/>
      <c r="H20" s="135"/>
    </row>
    <row r="21" spans="1:8" ht="15.75" thickBot="1" x14ac:dyDescent="0.25">
      <c r="A21" s="216" t="s">
        <v>87</v>
      </c>
      <c r="B21" s="217"/>
      <c r="C21" s="218">
        <f>ROUND((((1+C13+C14)*(1+C15)*(1+C16))/(1-(C17+C18))-1),4)</f>
        <v>0.27210000000000001</v>
      </c>
      <c r="D21" s="222">
        <v>0.21429999999999999</v>
      </c>
      <c r="E21" s="223">
        <v>0.2717</v>
      </c>
      <c r="F21" s="224">
        <v>0.3362</v>
      </c>
      <c r="G21" s="135"/>
      <c r="H21" s="135"/>
    </row>
    <row r="22" spans="1:8" ht="14.25" x14ac:dyDescent="0.2">
      <c r="A22" s="135"/>
      <c r="B22" s="135"/>
      <c r="C22" s="135"/>
      <c r="D22" s="135"/>
      <c r="E22" s="136"/>
      <c r="F22" s="135"/>
      <c r="G22" s="135"/>
      <c r="H22" s="135"/>
    </row>
    <row r="23" spans="1:8" ht="14.25" x14ac:dyDescent="0.2">
      <c r="A23" s="135"/>
      <c r="B23" s="135"/>
      <c r="C23" s="135"/>
      <c r="D23" s="135"/>
      <c r="E23" s="136"/>
      <c r="F23" s="135"/>
      <c r="G23" s="135"/>
      <c r="H23" s="135"/>
    </row>
    <row r="24" spans="1:8" ht="14.25" x14ac:dyDescent="0.2">
      <c r="A24" s="135"/>
      <c r="B24" s="135"/>
      <c r="C24" s="135"/>
      <c r="D24" s="135"/>
      <c r="E24" s="136"/>
      <c r="F24" s="135"/>
      <c r="G24" s="135"/>
      <c r="H24" s="135"/>
    </row>
    <row r="25" spans="1:8" ht="14.25" x14ac:dyDescent="0.2">
      <c r="A25" s="135"/>
      <c r="B25" s="135"/>
      <c r="C25" s="135"/>
      <c r="D25" s="135"/>
      <c r="E25" s="136"/>
      <c r="F25" s="135"/>
      <c r="G25" s="135"/>
      <c r="H25" s="135"/>
    </row>
  </sheetData>
  <mergeCells count="3">
    <mergeCell ref="B17:B18"/>
    <mergeCell ref="D11:F11"/>
    <mergeCell ref="A9:F9"/>
  </mergeCells>
  <pageMargins left="0.90551181102362199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11</vt:i4>
      </vt:variant>
    </vt:vector>
  </HeadingPairs>
  <TitlesOfParts>
    <vt:vector size="27" baseType="lpstr">
      <vt:lpstr>Resumo</vt:lpstr>
      <vt:lpstr>1. Coleta Orgânica</vt:lpstr>
      <vt:lpstr>2. Coleta Seletiva e Interior</vt:lpstr>
      <vt:lpstr>3. Transbordo</vt:lpstr>
      <vt:lpstr>4. Transporte </vt:lpstr>
      <vt:lpstr>5. Destino Final</vt:lpstr>
      <vt:lpstr>6.Enc Sociais</vt:lpstr>
      <vt:lpstr>7.CAGED</vt:lpstr>
      <vt:lpstr>8.BDI</vt:lpstr>
      <vt:lpstr>9.BDI Aterro</vt:lpstr>
      <vt:lpstr>10. Ton</vt:lpstr>
      <vt:lpstr>11. Horários</vt:lpstr>
      <vt:lpstr>12. Roteiros</vt:lpstr>
      <vt:lpstr>13. Depr</vt:lpstr>
      <vt:lpstr>14. Rem capital</vt:lpstr>
      <vt:lpstr>16. Dimens</vt:lpstr>
      <vt:lpstr>AbaDeprec</vt:lpstr>
      <vt:lpstr>AbaRemun</vt:lpstr>
      <vt:lpstr>'1. Coleta Orgânica'!Area_de_impressao</vt:lpstr>
      <vt:lpstr>'2. Coleta Seletiva e Interior'!Area_de_impressao</vt:lpstr>
      <vt:lpstr>'3. Transbordo'!Area_de_impressao</vt:lpstr>
      <vt:lpstr>'4. Transporte '!Area_de_impressao</vt:lpstr>
      <vt:lpstr>'5. Destino Final'!Area_de_impressao</vt:lpstr>
      <vt:lpstr>'6.Enc Sociais'!Area_de_impressao</vt:lpstr>
      <vt:lpstr>'1. Coleta Orgânica'!Titulos_de_impressao</vt:lpstr>
      <vt:lpstr>'2. Coleta Seletiva e Interior'!Titulos_de_impressao</vt:lpstr>
      <vt:lpstr>'3. Transbordo'!Titulos_de_impressao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Edgar</dc:creator>
  <cp:lastModifiedBy>Ws</cp:lastModifiedBy>
  <cp:lastPrinted>2024-03-11T10:33:16Z</cp:lastPrinted>
  <dcterms:created xsi:type="dcterms:W3CDTF">2000-12-13T10:02:50Z</dcterms:created>
  <dcterms:modified xsi:type="dcterms:W3CDTF">2024-03-20T12:28:39Z</dcterms:modified>
</cp:coreProperties>
</file>