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ário\Desktop\Pontes\Ponte Dourado\ORÇAMENTO\"/>
    </mc:Choice>
  </mc:AlternateContent>
  <bookViews>
    <workbookView xWindow="0" yWindow="0" windowWidth="38400" windowHeight="12330" activeTab="1"/>
  </bookViews>
  <sheets>
    <sheet name="ORÇAMENTO" sheetId="1" r:id="rId1"/>
    <sheet name="CRONOGRAMA" sheetId="2" r:id="rId2"/>
    <sheet name="COMPOSIÇÕES" sheetId="5" r:id="rId3"/>
    <sheet name="ADMINISTRAÇÃO LOCAL" sheetId="7" r:id="rId4"/>
    <sheet name="MOBILIZAÇÃO E DESMOBILIZAÇÃO" sheetId="8" r:id="rId5"/>
    <sheet name="MEMORIAL DE QUANTIDADES" sheetId="9" r:id="rId6"/>
  </sheets>
  <definedNames>
    <definedName name="_xlnm.Print_Area" localSheetId="3">'ADMINISTRAÇÃO LOCAL'!$A$1:$N$23</definedName>
    <definedName name="_xlnm.Print_Area" localSheetId="2">COMPOSIÇÕES!$A$1:$M$91</definedName>
    <definedName name="_xlnm.Print_Area" localSheetId="1">CRONOGRAMA!$A$1:$N$26</definedName>
    <definedName name="_xlnm.Print_Area" localSheetId="5">'MEMORIAL DE QUANTIDADES'!$A$1:$I$147</definedName>
    <definedName name="_xlnm.Print_Area" localSheetId="4">'MOBILIZAÇÃO E DESMOBILIZAÇÃO'!$A$1:$P$22</definedName>
    <definedName name="_xlnm.Print_Area" localSheetId="0">ORÇAMENTO!$A$1:$M$151</definedName>
    <definedName name="_xlnm.Print_Titles" localSheetId="0">ORÇAMENTO!$1:$6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5" i="9" l="1"/>
  <c r="C141" i="9"/>
  <c r="C139" i="9"/>
  <c r="B136" i="9"/>
  <c r="A136" i="9"/>
  <c r="C134" i="9"/>
  <c r="C130" i="9"/>
  <c r="C129" i="9"/>
  <c r="C128" i="9"/>
  <c r="C126" i="9"/>
  <c r="Q147" i="1"/>
  <c r="B123" i="9" l="1"/>
  <c r="A123" i="9"/>
  <c r="C120" i="9"/>
  <c r="B115" i="9"/>
  <c r="A115" i="9"/>
  <c r="C113" i="9"/>
  <c r="C111" i="9"/>
  <c r="B106" i="9"/>
  <c r="A106" i="9"/>
  <c r="C104" i="9"/>
  <c r="B98" i="9"/>
  <c r="A98" i="9"/>
  <c r="C88" i="9"/>
  <c r="C86" i="9"/>
  <c r="C85" i="9"/>
  <c r="C81" i="9"/>
  <c r="C80" i="9"/>
  <c r="B74" i="9"/>
  <c r="A74" i="9"/>
  <c r="C96" i="9"/>
  <c r="B90" i="9"/>
  <c r="A90" i="9"/>
  <c r="C72" i="9"/>
  <c r="C71" i="9"/>
  <c r="C69" i="9"/>
  <c r="C68" i="9"/>
  <c r="C67" i="9"/>
  <c r="B60" i="9"/>
  <c r="A60" i="9"/>
  <c r="C56" i="9"/>
  <c r="C49" i="9"/>
  <c r="C50" i="9" s="1"/>
  <c r="C58" i="9" s="1"/>
  <c r="B42" i="9"/>
  <c r="A42" i="9"/>
  <c r="C38" i="9"/>
  <c r="C39" i="9" s="1"/>
  <c r="C40" i="9" s="1"/>
  <c r="B33" i="9"/>
  <c r="A33" i="9"/>
  <c r="C30" i="9"/>
  <c r="C31" i="9" s="1"/>
  <c r="B24" i="9"/>
  <c r="A24" i="9"/>
  <c r="B17" i="9"/>
  <c r="A17" i="9"/>
  <c r="C15" i="9"/>
  <c r="B10" i="9"/>
  <c r="A10" i="9"/>
  <c r="C7" i="9"/>
  <c r="C8" i="9" s="1"/>
  <c r="B3" i="9"/>
  <c r="A3" i="9"/>
  <c r="C121" i="9" l="1"/>
  <c r="I90" i="1" l="1"/>
  <c r="K90" i="1" s="1"/>
  <c r="H90" i="1"/>
  <c r="J90" i="1" s="1"/>
  <c r="I89" i="1"/>
  <c r="K89" i="1" s="1"/>
  <c r="H89" i="1"/>
  <c r="J89" i="1" s="1"/>
  <c r="L89" i="1" s="1"/>
  <c r="F89" i="1"/>
  <c r="I37" i="1"/>
  <c r="K37" i="1" s="1"/>
  <c r="H37" i="1"/>
  <c r="J37" i="1" s="1"/>
  <c r="L37" i="1" s="1"/>
  <c r="I35" i="1"/>
  <c r="K35" i="1" s="1"/>
  <c r="H35" i="1"/>
  <c r="J35" i="1" s="1"/>
  <c r="L35" i="1" s="1"/>
  <c r="L90" i="1" l="1"/>
  <c r="I121" i="1"/>
  <c r="K121" i="1" s="1"/>
  <c r="H121" i="1"/>
  <c r="J121" i="1" s="1"/>
  <c r="J120" i="1"/>
  <c r="I120" i="1"/>
  <c r="K120" i="1" s="1"/>
  <c r="H120" i="1"/>
  <c r="I113" i="1"/>
  <c r="K113" i="1" s="1"/>
  <c r="H113" i="1"/>
  <c r="J113" i="1" s="1"/>
  <c r="L113" i="1" s="1"/>
  <c r="I112" i="1"/>
  <c r="K112" i="1" s="1"/>
  <c r="H112" i="1"/>
  <c r="J112" i="1" s="1"/>
  <c r="L112" i="1" s="1"/>
  <c r="I102" i="1"/>
  <c r="K102" i="1" s="1"/>
  <c r="H102" i="1"/>
  <c r="J102" i="1" s="1"/>
  <c r="I101" i="1"/>
  <c r="K101" i="1" s="1"/>
  <c r="H101" i="1"/>
  <c r="J101" i="1" s="1"/>
  <c r="L101" i="1" s="1"/>
  <c r="I94" i="1"/>
  <c r="K94" i="1" s="1"/>
  <c r="H94" i="1"/>
  <c r="J94" i="1" s="1"/>
  <c r="J93" i="1"/>
  <c r="I93" i="1"/>
  <c r="K93" i="1" s="1"/>
  <c r="H93" i="1"/>
  <c r="I74" i="1"/>
  <c r="K74" i="1" s="1"/>
  <c r="H74" i="1"/>
  <c r="J74" i="1" s="1"/>
  <c r="I73" i="1"/>
  <c r="K73" i="1" s="1"/>
  <c r="H73" i="1"/>
  <c r="J73" i="1" s="1"/>
  <c r="L73" i="1" s="1"/>
  <c r="I65" i="1"/>
  <c r="K65" i="1" s="1"/>
  <c r="H65" i="1"/>
  <c r="J65" i="1" s="1"/>
  <c r="I64" i="1"/>
  <c r="K64" i="1" s="1"/>
  <c r="H64" i="1"/>
  <c r="J64" i="1" s="1"/>
  <c r="K57" i="1"/>
  <c r="I57" i="1"/>
  <c r="H57" i="1"/>
  <c r="J57" i="1" s="1"/>
  <c r="I56" i="1"/>
  <c r="K56" i="1" s="1"/>
  <c r="H56" i="1"/>
  <c r="J56" i="1" s="1"/>
  <c r="K45" i="1"/>
  <c r="I45" i="1"/>
  <c r="H45" i="1"/>
  <c r="J45" i="1" s="1"/>
  <c r="L45" i="1" s="1"/>
  <c r="I44" i="1"/>
  <c r="K44" i="1" s="1"/>
  <c r="H44" i="1"/>
  <c r="J44" i="1" s="1"/>
  <c r="L44" i="1" s="1"/>
  <c r="I33" i="1"/>
  <c r="K33" i="1" s="1"/>
  <c r="H33" i="1"/>
  <c r="J33" i="1" s="1"/>
  <c r="I32" i="1"/>
  <c r="K32" i="1" s="1"/>
  <c r="H32" i="1"/>
  <c r="J32" i="1" s="1"/>
  <c r="I31" i="1"/>
  <c r="K31" i="1" s="1"/>
  <c r="H31" i="1"/>
  <c r="J31" i="1" s="1"/>
  <c r="I30" i="1"/>
  <c r="K30" i="1" s="1"/>
  <c r="H30" i="1"/>
  <c r="J30" i="1" s="1"/>
  <c r="I29" i="1"/>
  <c r="K29" i="1" s="1"/>
  <c r="H29" i="1"/>
  <c r="J29" i="1" s="1"/>
  <c r="L121" i="1" l="1"/>
  <c r="L93" i="1"/>
  <c r="L29" i="1"/>
  <c r="L120" i="1"/>
  <c r="L102" i="1"/>
  <c r="L94" i="1"/>
  <c r="L74" i="1"/>
  <c r="L65" i="1"/>
  <c r="L64" i="1"/>
  <c r="L57" i="1"/>
  <c r="L56" i="1"/>
  <c r="L33" i="1"/>
  <c r="L32" i="1"/>
  <c r="L31" i="1"/>
  <c r="L30" i="1"/>
  <c r="B22" i="2"/>
  <c r="B21" i="2"/>
  <c r="L28" i="1" l="1"/>
  <c r="H92" i="1"/>
  <c r="J92" i="1" s="1"/>
  <c r="I92" i="1"/>
  <c r="K92" i="1" s="1"/>
  <c r="L92" i="1" l="1"/>
  <c r="B12" i="2" l="1"/>
  <c r="B11" i="2"/>
  <c r="B10" i="2"/>
  <c r="B9" i="2"/>
  <c r="B8" i="2"/>
  <c r="B7" i="2"/>
  <c r="B6" i="2"/>
  <c r="B5" i="2"/>
  <c r="B4" i="2"/>
  <c r="I137" i="1"/>
  <c r="K137" i="1" s="1"/>
  <c r="H137" i="1"/>
  <c r="J137" i="1" s="1"/>
  <c r="O19" i="8"/>
  <c r="M19" i="8"/>
  <c r="M18" i="8"/>
  <c r="O18" i="8" s="1"/>
  <c r="K17" i="8"/>
  <c r="M17" i="8" s="1"/>
  <c r="O17" i="8" s="1"/>
  <c r="M16" i="8"/>
  <c r="O16" i="8" s="1"/>
  <c r="O20" i="8" s="1"/>
  <c r="K16" i="8"/>
  <c r="K8" i="8"/>
  <c r="M8" i="8" s="1"/>
  <c r="O8" i="8" s="1"/>
  <c r="K7" i="8"/>
  <c r="M7" i="8" s="1"/>
  <c r="O7" i="8" s="1"/>
  <c r="M10" i="8"/>
  <c r="O10" i="8" s="1"/>
  <c r="M9" i="8"/>
  <c r="O9" i="8" s="1"/>
  <c r="L137" i="1" l="1"/>
  <c r="L136" i="1" s="1"/>
  <c r="O11" i="8"/>
  <c r="I139" i="1" l="1"/>
  <c r="K139" i="1" s="1"/>
  <c r="H139" i="1"/>
  <c r="J139" i="1" s="1"/>
  <c r="I133" i="1"/>
  <c r="K133" i="1" s="1"/>
  <c r="H133" i="1"/>
  <c r="J133" i="1" s="1"/>
  <c r="I134" i="1"/>
  <c r="K134" i="1" s="1"/>
  <c r="H134" i="1"/>
  <c r="J134" i="1" s="1"/>
  <c r="L133" i="1" l="1"/>
  <c r="L139" i="1"/>
  <c r="L134" i="1"/>
  <c r="I118" i="1"/>
  <c r="K118" i="1" s="1"/>
  <c r="H118" i="1"/>
  <c r="J118" i="1" s="1"/>
  <c r="I116" i="1"/>
  <c r="K116" i="1" s="1"/>
  <c r="H116" i="1"/>
  <c r="J116" i="1" s="1"/>
  <c r="I115" i="1"/>
  <c r="K115" i="1" s="1"/>
  <c r="H115" i="1"/>
  <c r="J115" i="1" s="1"/>
  <c r="F111" i="1"/>
  <c r="I111" i="1"/>
  <c r="H111" i="1"/>
  <c r="I110" i="1"/>
  <c r="K110" i="1" s="1"/>
  <c r="H110" i="1"/>
  <c r="J110" i="1" s="1"/>
  <c r="I109" i="1"/>
  <c r="K109" i="1" s="1"/>
  <c r="H109" i="1"/>
  <c r="J109" i="1" s="1"/>
  <c r="I108" i="1"/>
  <c r="K108" i="1" s="1"/>
  <c r="H108" i="1"/>
  <c r="J108" i="1" s="1"/>
  <c r="L118" i="1" l="1"/>
  <c r="K111" i="1"/>
  <c r="L116" i="1"/>
  <c r="L115" i="1"/>
  <c r="L110" i="1"/>
  <c r="J111" i="1"/>
  <c r="L108" i="1"/>
  <c r="L109" i="1"/>
  <c r="I140" i="1"/>
  <c r="K140" i="1" s="1"/>
  <c r="H140" i="1"/>
  <c r="J140" i="1" s="1"/>
  <c r="I132" i="1"/>
  <c r="K132" i="1" s="1"/>
  <c r="H132" i="1"/>
  <c r="J132" i="1" s="1"/>
  <c r="I131" i="1"/>
  <c r="K131" i="1" s="1"/>
  <c r="H131" i="1"/>
  <c r="J131" i="1" s="1"/>
  <c r="I130" i="1"/>
  <c r="K130" i="1" s="1"/>
  <c r="H130" i="1"/>
  <c r="J130" i="1" s="1"/>
  <c r="I127" i="1"/>
  <c r="K127" i="1" s="1"/>
  <c r="H127" i="1"/>
  <c r="J127" i="1" s="1"/>
  <c r="I124" i="1"/>
  <c r="K124" i="1" s="1"/>
  <c r="H124" i="1"/>
  <c r="J124" i="1" s="1"/>
  <c r="I123" i="1"/>
  <c r="K123" i="1" s="1"/>
  <c r="H123" i="1"/>
  <c r="J123" i="1" s="1"/>
  <c r="I119" i="1"/>
  <c r="H119" i="1"/>
  <c r="I117" i="1"/>
  <c r="K117" i="1" s="1"/>
  <c r="H117" i="1"/>
  <c r="J117" i="1" s="1"/>
  <c r="I107" i="1"/>
  <c r="K107" i="1" s="1"/>
  <c r="H107" i="1"/>
  <c r="J107" i="1" s="1"/>
  <c r="I106" i="1"/>
  <c r="K106" i="1" s="1"/>
  <c r="H106" i="1"/>
  <c r="J106" i="1" s="1"/>
  <c r="I105" i="1"/>
  <c r="K105" i="1" s="1"/>
  <c r="H105" i="1"/>
  <c r="J105" i="1" s="1"/>
  <c r="I104" i="1"/>
  <c r="K104" i="1" s="1"/>
  <c r="H104" i="1"/>
  <c r="J104" i="1" s="1"/>
  <c r="I100" i="1"/>
  <c r="H100" i="1"/>
  <c r="I99" i="1"/>
  <c r="K99" i="1" s="1"/>
  <c r="I98" i="1"/>
  <c r="K98" i="1" s="1"/>
  <c r="H98" i="1"/>
  <c r="J98" i="1" s="1"/>
  <c r="I97" i="1"/>
  <c r="K97" i="1" s="1"/>
  <c r="H97" i="1"/>
  <c r="J97" i="1" s="1"/>
  <c r="I96" i="1"/>
  <c r="K96" i="1" s="1"/>
  <c r="H96" i="1"/>
  <c r="J96" i="1" s="1"/>
  <c r="I91" i="1"/>
  <c r="K91" i="1" s="1"/>
  <c r="H91" i="1"/>
  <c r="J91" i="1" s="1"/>
  <c r="I88" i="1"/>
  <c r="H88" i="1"/>
  <c r="I87" i="1"/>
  <c r="K87" i="1" s="1"/>
  <c r="H87" i="1"/>
  <c r="J87" i="1" s="1"/>
  <c r="I86" i="1"/>
  <c r="K86" i="1" s="1"/>
  <c r="H86" i="1"/>
  <c r="J86" i="1" s="1"/>
  <c r="I85" i="1"/>
  <c r="K85" i="1" s="1"/>
  <c r="H85" i="1"/>
  <c r="J85" i="1" s="1"/>
  <c r="I84" i="1"/>
  <c r="K84" i="1" s="1"/>
  <c r="H84" i="1"/>
  <c r="J84" i="1" s="1"/>
  <c r="I83" i="1"/>
  <c r="K83" i="1" s="1"/>
  <c r="H83" i="1"/>
  <c r="J83" i="1" s="1"/>
  <c r="I82" i="1"/>
  <c r="K82" i="1" s="1"/>
  <c r="H82" i="1"/>
  <c r="J82" i="1" s="1"/>
  <c r="I81" i="1"/>
  <c r="K81" i="1" s="1"/>
  <c r="H81" i="1"/>
  <c r="J81" i="1" s="1"/>
  <c r="I80" i="1"/>
  <c r="K80" i="1" s="1"/>
  <c r="H80" i="1"/>
  <c r="J80" i="1" s="1"/>
  <c r="I79" i="1"/>
  <c r="K79" i="1" s="1"/>
  <c r="H79" i="1"/>
  <c r="J79" i="1" s="1"/>
  <c r="I78" i="1"/>
  <c r="K78" i="1" s="1"/>
  <c r="H78" i="1"/>
  <c r="J78" i="1" s="1"/>
  <c r="I77" i="1"/>
  <c r="K77" i="1" s="1"/>
  <c r="H77" i="1"/>
  <c r="J77" i="1" s="1"/>
  <c r="I72" i="1"/>
  <c r="H72" i="1"/>
  <c r="I71" i="1"/>
  <c r="K71" i="1" s="1"/>
  <c r="H71" i="1"/>
  <c r="J71" i="1" s="1"/>
  <c r="I70" i="1"/>
  <c r="K70" i="1" s="1"/>
  <c r="H70" i="1"/>
  <c r="J70" i="1" s="1"/>
  <c r="I69" i="1"/>
  <c r="K69" i="1" s="1"/>
  <c r="H69" i="1"/>
  <c r="J69" i="1" s="1"/>
  <c r="I68" i="1"/>
  <c r="K68" i="1" s="1"/>
  <c r="H68" i="1"/>
  <c r="J68" i="1" s="1"/>
  <c r="I67" i="1"/>
  <c r="K67" i="1" s="1"/>
  <c r="I63" i="1"/>
  <c r="H63" i="1"/>
  <c r="I62" i="1"/>
  <c r="K62" i="1" s="1"/>
  <c r="I61" i="1"/>
  <c r="K61" i="1" s="1"/>
  <c r="H61" i="1"/>
  <c r="J61" i="1" s="1"/>
  <c r="I60" i="1"/>
  <c r="K60" i="1" s="1"/>
  <c r="H60" i="1"/>
  <c r="J60" i="1" s="1"/>
  <c r="I59" i="1"/>
  <c r="I55" i="1"/>
  <c r="K55" i="1" s="1"/>
  <c r="H55" i="1"/>
  <c r="J55" i="1" s="1"/>
  <c r="I54" i="1"/>
  <c r="H54" i="1"/>
  <c r="I53" i="1"/>
  <c r="K53" i="1" s="1"/>
  <c r="I52" i="1"/>
  <c r="K52" i="1" s="1"/>
  <c r="H52" i="1"/>
  <c r="J52" i="1" s="1"/>
  <c r="I51" i="1"/>
  <c r="K51" i="1" s="1"/>
  <c r="H51" i="1"/>
  <c r="J51" i="1" s="1"/>
  <c r="I50" i="1"/>
  <c r="K50" i="1" s="1"/>
  <c r="H50" i="1"/>
  <c r="J50" i="1" s="1"/>
  <c r="I49" i="1"/>
  <c r="K49" i="1" s="1"/>
  <c r="H49" i="1"/>
  <c r="J49" i="1" s="1"/>
  <c r="I48" i="1"/>
  <c r="K48" i="1" s="1"/>
  <c r="I43" i="1"/>
  <c r="H43" i="1"/>
  <c r="I42" i="1"/>
  <c r="K42" i="1" s="1"/>
  <c r="H42" i="1"/>
  <c r="J42" i="1" s="1"/>
  <c r="I41" i="1"/>
  <c r="K41" i="1" s="1"/>
  <c r="H41" i="1"/>
  <c r="J41" i="1" s="1"/>
  <c r="I40" i="1"/>
  <c r="K40" i="1" s="1"/>
  <c r="H40" i="1"/>
  <c r="J40" i="1" s="1"/>
  <c r="I39" i="1"/>
  <c r="K39" i="1" s="1"/>
  <c r="H39" i="1"/>
  <c r="J39" i="1" s="1"/>
  <c r="I38" i="1"/>
  <c r="K38" i="1" s="1"/>
  <c r="H38" i="1"/>
  <c r="J38" i="1" s="1"/>
  <c r="I36" i="1"/>
  <c r="K36" i="1" s="1"/>
  <c r="H36" i="1"/>
  <c r="J36" i="1" s="1"/>
  <c r="I26" i="1"/>
  <c r="H26" i="1"/>
  <c r="I25" i="1"/>
  <c r="H25" i="1"/>
  <c r="I24" i="1"/>
  <c r="K24" i="1" s="1"/>
  <c r="H24" i="1"/>
  <c r="J24" i="1" s="1"/>
  <c r="I23" i="1"/>
  <c r="K23" i="1" s="1"/>
  <c r="H23" i="1"/>
  <c r="J23" i="1" s="1"/>
  <c r="I20" i="1"/>
  <c r="K20" i="1" s="1"/>
  <c r="H20" i="1"/>
  <c r="J20" i="1" s="1"/>
  <c r="I19" i="1"/>
  <c r="K19" i="1" s="1"/>
  <c r="H19" i="1"/>
  <c r="J19" i="1" s="1"/>
  <c r="I18" i="1"/>
  <c r="K18" i="1" s="1"/>
  <c r="H18" i="1"/>
  <c r="J18" i="1" s="1"/>
  <c r="I17" i="1"/>
  <c r="K17" i="1" s="1"/>
  <c r="H17" i="1"/>
  <c r="J17" i="1" s="1"/>
  <c r="I15" i="1"/>
  <c r="K15" i="1" s="1"/>
  <c r="H15" i="1"/>
  <c r="J15" i="1" s="1"/>
  <c r="I14" i="1"/>
  <c r="K14" i="1" s="1"/>
  <c r="H14" i="1"/>
  <c r="J14" i="1" s="1"/>
  <c r="I11" i="1"/>
  <c r="K11" i="1" s="1"/>
  <c r="H11" i="1"/>
  <c r="J11" i="1" s="1"/>
  <c r="F119" i="1"/>
  <c r="N99" i="1"/>
  <c r="H99" i="1" s="1"/>
  <c r="J99" i="1" s="1"/>
  <c r="F100" i="1"/>
  <c r="F88" i="1"/>
  <c r="L69" i="5"/>
  <c r="I67" i="5"/>
  <c r="F63" i="1"/>
  <c r="N62" i="1"/>
  <c r="H62" i="1" s="1"/>
  <c r="J62" i="1" s="1"/>
  <c r="N59" i="1"/>
  <c r="H59" i="1" s="1"/>
  <c r="F59" i="1"/>
  <c r="F72" i="1"/>
  <c r="N67" i="1"/>
  <c r="H67" i="1" s="1"/>
  <c r="J67" i="1" s="1"/>
  <c r="F25" i="1"/>
  <c r="F54" i="1"/>
  <c r="N53" i="1"/>
  <c r="H53" i="1" s="1"/>
  <c r="J53" i="1" s="1"/>
  <c r="N48" i="1"/>
  <c r="H48" i="1" s="1"/>
  <c r="J48" i="1" s="1"/>
  <c r="F43" i="1"/>
  <c r="K43" i="1" s="1"/>
  <c r="L11" i="1" l="1"/>
  <c r="L18" i="1"/>
  <c r="K54" i="1"/>
  <c r="J59" i="1"/>
  <c r="K88" i="1"/>
  <c r="K25" i="1"/>
  <c r="L99" i="1"/>
  <c r="L67" i="1"/>
  <c r="K119" i="1"/>
  <c r="L42" i="1"/>
  <c r="L68" i="1"/>
  <c r="L111" i="1"/>
  <c r="L53" i="1"/>
  <c r="L41" i="1"/>
  <c r="L61" i="1"/>
  <c r="L86" i="1"/>
  <c r="L132" i="1"/>
  <c r="J43" i="1"/>
  <c r="L43" i="1" s="1"/>
  <c r="L48" i="1"/>
  <c r="J54" i="1"/>
  <c r="L54" i="1" s="1"/>
  <c r="L71" i="1"/>
  <c r="L82" i="1"/>
  <c r="L117" i="1"/>
  <c r="L123" i="1"/>
  <c r="L127" i="1"/>
  <c r="J100" i="1"/>
  <c r="J25" i="1"/>
  <c r="L49" i="1"/>
  <c r="L51" i="1"/>
  <c r="L96" i="1"/>
  <c r="L98" i="1"/>
  <c r="L105" i="1"/>
  <c r="L15" i="1"/>
  <c r="L106" i="1"/>
  <c r="L20" i="1"/>
  <c r="L24" i="1"/>
  <c r="L40" i="1"/>
  <c r="J63" i="1"/>
  <c r="L70" i="1"/>
  <c r="L77" i="1"/>
  <c r="K100" i="1"/>
  <c r="L39" i="1"/>
  <c r="K59" i="1"/>
  <c r="K63" i="1"/>
  <c r="L83" i="1"/>
  <c r="L85" i="1"/>
  <c r="J88" i="1"/>
  <c r="L91" i="1"/>
  <c r="L97" i="1"/>
  <c r="L104" i="1"/>
  <c r="L103" i="1" s="1"/>
  <c r="L107" i="1"/>
  <c r="J119" i="1"/>
  <c r="L131" i="1"/>
  <c r="K72" i="1"/>
  <c r="L17" i="1"/>
  <c r="L19" i="1"/>
  <c r="L23" i="1"/>
  <c r="L50" i="1"/>
  <c r="L52" i="1"/>
  <c r="L55" i="1"/>
  <c r="L60" i="1"/>
  <c r="L69" i="1"/>
  <c r="J72" i="1"/>
  <c r="L78" i="1"/>
  <c r="L80" i="1"/>
  <c r="L87" i="1"/>
  <c r="L130" i="1"/>
  <c r="L140" i="1"/>
  <c r="L124" i="1"/>
  <c r="L84" i="1"/>
  <c r="L81" i="1"/>
  <c r="L79" i="1"/>
  <c r="L62" i="1"/>
  <c r="L38" i="1"/>
  <c r="L36" i="1"/>
  <c r="L14" i="1"/>
  <c r="L34" i="1" l="1"/>
  <c r="L114" i="1"/>
  <c r="L47" i="1"/>
  <c r="L59" i="1"/>
  <c r="L100" i="1"/>
  <c r="L95" i="1" s="1"/>
  <c r="L88" i="1"/>
  <c r="L76" i="1" s="1"/>
  <c r="L25" i="1"/>
  <c r="L129" i="1"/>
  <c r="L128" i="1" s="1"/>
  <c r="L126" i="1"/>
  <c r="L125" i="1" s="1"/>
  <c r="L138" i="1"/>
  <c r="L135" i="1" s="1"/>
  <c r="L119" i="1"/>
  <c r="L72" i="1"/>
  <c r="L66" i="1" s="1"/>
  <c r="L63" i="1"/>
  <c r="L58" i="1" l="1"/>
  <c r="O10" i="2"/>
  <c r="L10" i="2" s="1"/>
  <c r="O12" i="2"/>
  <c r="L12" i="2" s="1"/>
  <c r="O11" i="2"/>
  <c r="L11" i="2" s="1"/>
  <c r="F26" i="1"/>
  <c r="L26" i="5"/>
  <c r="L27" i="5"/>
  <c r="L29" i="5" s="1"/>
  <c r="L25" i="5"/>
  <c r="L49" i="5"/>
  <c r="L48" i="5"/>
  <c r="L42" i="5"/>
  <c r="L41" i="5"/>
  <c r="L40" i="5"/>
  <c r="L39" i="5"/>
  <c r="L35" i="5"/>
  <c r="L34" i="5"/>
  <c r="L33" i="5"/>
  <c r="L38" i="5"/>
  <c r="L37" i="5"/>
  <c r="L36" i="5"/>
  <c r="L19" i="5"/>
  <c r="L18" i="5"/>
  <c r="H10" i="1"/>
  <c r="J10" i="1" s="1"/>
  <c r="I10" i="1"/>
  <c r="K10" i="1" s="1"/>
  <c r="M5" i="7"/>
  <c r="M6" i="7"/>
  <c r="M4" i="7"/>
  <c r="M11" i="7"/>
  <c r="M12" i="7"/>
  <c r="M10" i="7"/>
  <c r="B12" i="7"/>
  <c r="B11" i="7"/>
  <c r="B10" i="7"/>
  <c r="L50" i="5" l="1"/>
  <c r="K26" i="1"/>
  <c r="J26" i="1"/>
  <c r="L43" i="5"/>
  <c r="L28" i="5"/>
  <c r="L44" i="5"/>
  <c r="L21" i="5"/>
  <c r="L10" i="1"/>
  <c r="M7" i="7"/>
  <c r="L26" i="1" l="1"/>
  <c r="L16" i="1"/>
  <c r="L22" i="1" l="1"/>
  <c r="L21" i="1" s="1"/>
  <c r="L9" i="1"/>
  <c r="L8" i="1" s="1"/>
  <c r="O6" i="2" l="1"/>
  <c r="L6" i="2" s="1"/>
  <c r="O4" i="2"/>
  <c r="J4" i="2" s="1"/>
  <c r="B87" i="5"/>
  <c r="B86" i="5"/>
  <c r="J6" i="2" l="1"/>
  <c r="H6" i="2"/>
  <c r="F6" i="2"/>
  <c r="H4" i="2"/>
  <c r="L4" i="2"/>
  <c r="F4" i="2"/>
  <c r="L77" i="5"/>
  <c r="L80" i="5" s="1"/>
  <c r="L70" i="5"/>
  <c r="L68" i="5"/>
  <c r="L73" i="5" s="1"/>
  <c r="L67" i="5"/>
  <c r="L66" i="5"/>
  <c r="L72" i="5" l="1"/>
  <c r="L57" i="5"/>
  <c r="L56" i="5"/>
  <c r="L59" i="5"/>
  <c r="L58" i="5"/>
  <c r="L55" i="5"/>
  <c r="L142" i="1"/>
  <c r="L9" i="5"/>
  <c r="L141" i="1" l="1"/>
  <c r="L122" i="1"/>
  <c r="L61" i="5"/>
  <c r="L62" i="5"/>
  <c r="L143" i="1" l="1"/>
  <c r="L27" i="1"/>
  <c r="L75" i="1"/>
  <c r="M140" i="1" l="1"/>
  <c r="M127" i="1"/>
  <c r="M105" i="1"/>
  <c r="M113" i="1"/>
  <c r="M96" i="1"/>
  <c r="M85" i="1"/>
  <c r="M93" i="1"/>
  <c r="M73" i="1"/>
  <c r="M65" i="1"/>
  <c r="M55" i="1"/>
  <c r="M32" i="1"/>
  <c r="M20" i="1"/>
  <c r="M117" i="1"/>
  <c r="M107" i="1"/>
  <c r="M97" i="1"/>
  <c r="M87" i="1"/>
  <c r="M67" i="1"/>
  <c r="M57" i="1"/>
  <c r="M39" i="1"/>
  <c r="M18" i="1"/>
  <c r="M62" i="1"/>
  <c r="M25" i="1"/>
  <c r="M134" i="1"/>
  <c r="M83" i="1"/>
  <c r="M35" i="1"/>
  <c r="M24" i="1"/>
  <c r="M54" i="1"/>
  <c r="M139" i="1"/>
  <c r="M116" i="1"/>
  <c r="M106" i="1"/>
  <c r="M104" i="1"/>
  <c r="M78" i="1"/>
  <c r="M86" i="1"/>
  <c r="M94" i="1"/>
  <c r="M74" i="1"/>
  <c r="M59" i="1"/>
  <c r="M56" i="1"/>
  <c r="M40" i="1"/>
  <c r="M31" i="1"/>
  <c r="M19" i="1"/>
  <c r="M137" i="1"/>
  <c r="M79" i="1"/>
  <c r="M77" i="1"/>
  <c r="M49" i="1"/>
  <c r="M30" i="1"/>
  <c r="M101" i="1"/>
  <c r="M43" i="1"/>
  <c r="M115" i="1"/>
  <c r="M92" i="1"/>
  <c r="M42" i="1"/>
  <c r="M131" i="1"/>
  <c r="M118" i="1"/>
  <c r="M108" i="1"/>
  <c r="M98" i="1"/>
  <c r="M80" i="1"/>
  <c r="M88" i="1"/>
  <c r="M68" i="1"/>
  <c r="M60" i="1"/>
  <c r="M50" i="1"/>
  <c r="M48" i="1"/>
  <c r="M38" i="1"/>
  <c r="M29" i="1"/>
  <c r="M17" i="1"/>
  <c r="M120" i="1"/>
  <c r="M100" i="1"/>
  <c r="M90" i="1"/>
  <c r="M52" i="1"/>
  <c r="M36" i="1"/>
  <c r="M121" i="1"/>
  <c r="M91" i="1"/>
  <c r="M63" i="1"/>
  <c r="M112" i="1"/>
  <c r="M84" i="1"/>
  <c r="M64" i="1"/>
  <c r="M23" i="1"/>
  <c r="M132" i="1"/>
  <c r="M119" i="1"/>
  <c r="M109" i="1"/>
  <c r="M99" i="1"/>
  <c r="M81" i="1"/>
  <c r="M89" i="1"/>
  <c r="M69" i="1"/>
  <c r="M61" i="1"/>
  <c r="M51" i="1"/>
  <c r="M45" i="1"/>
  <c r="M37" i="1"/>
  <c r="M26" i="1"/>
  <c r="M15" i="1"/>
  <c r="M133" i="1"/>
  <c r="M110" i="1"/>
  <c r="M82" i="1"/>
  <c r="M70" i="1"/>
  <c r="M44" i="1"/>
  <c r="M111" i="1"/>
  <c r="M71" i="1"/>
  <c r="M53" i="1"/>
  <c r="M130" i="1"/>
  <c r="M102" i="1"/>
  <c r="M72" i="1"/>
  <c r="M33" i="1"/>
  <c r="M41" i="1"/>
  <c r="M21" i="1"/>
  <c r="O7" i="2"/>
  <c r="F7" i="2" s="1"/>
  <c r="M27" i="1"/>
  <c r="M75" i="1"/>
  <c r="M136" i="1"/>
  <c r="M124" i="1"/>
  <c r="M126" i="1"/>
  <c r="M11" i="1"/>
  <c r="M14" i="1"/>
  <c r="M123" i="1"/>
  <c r="M135" i="1"/>
  <c r="M125" i="1"/>
  <c r="M128" i="1"/>
  <c r="M10" i="1"/>
  <c r="M8" i="1"/>
  <c r="M142" i="1"/>
  <c r="M141" i="1"/>
  <c r="O9" i="2"/>
  <c r="L46" i="1"/>
  <c r="M16" i="1" l="1"/>
  <c r="M34" i="1"/>
  <c r="M114" i="1"/>
  <c r="H7" i="2"/>
  <c r="M76" i="1"/>
  <c r="M28" i="1"/>
  <c r="M47" i="1"/>
  <c r="M58" i="1"/>
  <c r="M66" i="1"/>
  <c r="M103" i="1"/>
  <c r="M95" i="1"/>
  <c r="M13" i="1"/>
  <c r="M122" i="1"/>
  <c r="M129" i="1"/>
  <c r="M143" i="1"/>
  <c r="M138" i="1"/>
  <c r="O8" i="2"/>
  <c r="J8" i="2" s="1"/>
  <c r="M46" i="1"/>
  <c r="M9" i="1"/>
  <c r="M22" i="1"/>
  <c r="J9" i="2"/>
  <c r="H9" i="2"/>
  <c r="L9" i="2"/>
  <c r="L13" i="2" s="1"/>
  <c r="L11" i="5"/>
  <c r="L10" i="5"/>
  <c r="L8" i="5"/>
  <c r="L7" i="5"/>
  <c r="L6" i="5"/>
  <c r="H8" i="2" l="1"/>
  <c r="H13" i="2" s="1"/>
  <c r="J13" i="2"/>
  <c r="L13" i="5"/>
  <c r="L14" i="5"/>
  <c r="L13" i="1" l="1"/>
  <c r="L12" i="1" s="1"/>
  <c r="M12" i="1" s="1"/>
  <c r="O5" i="2" l="1"/>
  <c r="L7" i="1"/>
  <c r="F5" i="2" l="1"/>
  <c r="F13" i="2" s="1"/>
  <c r="F14" i="2" s="1"/>
  <c r="H14" i="2" s="1"/>
  <c r="J14" i="2" s="1"/>
  <c r="L14" i="2" s="1"/>
  <c r="O14" i="2"/>
  <c r="G13" i="2" l="1"/>
  <c r="G14" i="2" s="1"/>
  <c r="I13" i="2"/>
  <c r="M13" i="2"/>
  <c r="K13" i="2"/>
  <c r="I14" i="2" l="1"/>
  <c r="K14" i="2" s="1"/>
  <c r="M14" i="2" s="1"/>
</calcChain>
</file>

<file path=xl/sharedStrings.xml><?xml version="1.0" encoding="utf-8"?>
<sst xmlns="http://schemas.openxmlformats.org/spreadsheetml/2006/main" count="896" uniqueCount="430">
  <si>
    <t>EMPRESA/CNPJ</t>
  </si>
  <si>
    <t>BDI PADRÃO (Acordão 2622/13 TCU)</t>
  </si>
  <si>
    <t>QNTD.</t>
  </si>
  <si>
    <t>UNID.</t>
  </si>
  <si>
    <t>VALOR UNITÁRIO COM BDI (R$)</t>
  </si>
  <si>
    <t>VALOR TOTAL COM BDI (R$)</t>
  </si>
  <si>
    <t>ITEM</t>
  </si>
  <si>
    <t>FONTE</t>
  </si>
  <si>
    <t>CÓDIGO</t>
  </si>
  <si>
    <t>DESCRIÇÃO</t>
  </si>
  <si>
    <t>MATERIAL</t>
  </si>
  <si>
    <t>MÃO DE OBRA</t>
  </si>
  <si>
    <t>TOTAL DA OBRA</t>
  </si>
  <si>
    <t>SERVIÇOS PRELIMINARES</t>
  </si>
  <si>
    <t>1.1</t>
  </si>
  <si>
    <t>1.1.1</t>
  </si>
  <si>
    <t>CREA-RS</t>
  </si>
  <si>
    <t>1.1.2</t>
  </si>
  <si>
    <t>COTAÇÃO</t>
  </si>
  <si>
    <t>1.2</t>
  </si>
  <si>
    <t>COMPOSIÇÃO</t>
  </si>
  <si>
    <t>1.3</t>
  </si>
  <si>
    <t>SINAPI</t>
  </si>
  <si>
    <t>m</t>
  </si>
  <si>
    <t>2.1</t>
  </si>
  <si>
    <t>2.1.1</t>
  </si>
  <si>
    <t>3.1</t>
  </si>
  <si>
    <t>3.1.1</t>
  </si>
  <si>
    <t>4.1</t>
  </si>
  <si>
    <t>4.1.1</t>
  </si>
  <si>
    <t>2.2</t>
  </si>
  <si>
    <t>3.1.2</t>
  </si>
  <si>
    <t>BDI (%)</t>
  </si>
  <si>
    <t>TEMPO DE EXECUÇÃO</t>
  </si>
  <si>
    <t>30 DIAS</t>
  </si>
  <si>
    <t>-</t>
  </si>
  <si>
    <t>TOTAL PARCIAL</t>
  </si>
  <si>
    <t>TOTAL ACUMULADO</t>
  </si>
  <si>
    <t>h</t>
  </si>
  <si>
    <t>COMPOSIÇÃO 1</t>
  </si>
  <si>
    <t xml:space="preserve">FONTE </t>
  </si>
  <si>
    <t>CÓD.</t>
  </si>
  <si>
    <t>QUANT.</t>
  </si>
  <si>
    <t>VALOR UNIT.</t>
  </si>
  <si>
    <t>VALOR TOTAL</t>
  </si>
  <si>
    <t>SINAPI-I</t>
  </si>
  <si>
    <t>SARRAFO 2,5 X 10 CM, PINUS OU EQUIVALENTE DA REGIÃO - BRUTA</t>
  </si>
  <si>
    <t>PREGO DE AÇO POLIDO COM CABEÇA, 18X30</t>
  </si>
  <si>
    <t>kg</t>
  </si>
  <si>
    <t>CARPINTEIRO DE FÔRMAS C/ ENCARGOS COMPLEMENTARES</t>
  </si>
  <si>
    <t>SERVENTE C/ ENCARGOS COM COMPLEMENTARES</t>
  </si>
  <si>
    <t>COMPOSIÇÃO 3</t>
  </si>
  <si>
    <t>m²</t>
  </si>
  <si>
    <t>PREFEITO MUNICIPAL</t>
  </si>
  <si>
    <t>DOCUMENTAÇÃO E OUTROS</t>
  </si>
  <si>
    <t>PLOTAGEM DE PROJETOS DE ENGENHARIA</t>
  </si>
  <si>
    <t>PLANILHA DE ORÇAMENTO GLOBAL</t>
  </si>
  <si>
    <t>ART/RRT DE OBRA OU SERVIÇO, VALOR DO CONTRATO OU CUSTO DA OBRA ACIMA DE R$ 15.000,01 (ENGº. CIVIL/ARQUITETO)</t>
  </si>
  <si>
    <t>PLANILHA DE COMPOSIÇÕES ANALITÍCAS</t>
  </si>
  <si>
    <t>CHP</t>
  </si>
  <si>
    <t>m³</t>
  </si>
  <si>
    <t>5.1</t>
  </si>
  <si>
    <t>5.1.1</t>
  </si>
  <si>
    <t>4.1.2</t>
  </si>
  <si>
    <t>4.1.3</t>
  </si>
  <si>
    <t>PLACA DE OBRA (PARA CONSTRUÇÃO CIVIL) EM CHAPA GALVANIZADA, ADESIVADA, DE 2 M X 1,2 M</t>
  </si>
  <si>
    <t>OBJETO</t>
  </si>
  <si>
    <t>PROPONENTE / TOMADOR</t>
  </si>
  <si>
    <t>PLACA DE OBRA EM CHAPA DE AÇO GALVANIZADO, ADESIVADA, N 22, DIMENSÕES DE 2,40 x 1,20 M</t>
  </si>
  <si>
    <r>
      <t xml:space="preserve">PLACA DE OBRA EM CHAPA GALVANINZADA PARA CONSTRUÇÃO CIVIL, ADESIVADA, Nº 22 - FORNECIMENTO E INSTALAÇÃO (DIMENSÕES 2,40 m X 1,2 m) - </t>
    </r>
    <r>
      <rPr>
        <b/>
        <sz val="11"/>
        <rFont val="Calibri"/>
        <family val="2"/>
        <scheme val="minor"/>
      </rPr>
      <t>CONFORME MODELO DA PREFEITURA MUNICIPAL</t>
    </r>
  </si>
  <si>
    <t>PONTALETE ROLIÇO D: 8 A 11 CM H: 3 M EM EUCALIPTO</t>
  </si>
  <si>
    <t>2.1.2</t>
  </si>
  <si>
    <t>SERVIÇOS INICIAIS</t>
  </si>
  <si>
    <t>LOCAÇÃO CONVENCIONAL DE OBRA, UTILIZANDO GABARITO DE TÁBUAS CORRIDAS</t>
  </si>
  <si>
    <t>LOCAÇÃO DE GRUPO GERADOR 80 A 125 KVA, MOTOR A DIESEL, REBOCAVEL, ACIONAMENTO MANUAL</t>
  </si>
  <si>
    <t>INFRAESTRUTURA</t>
  </si>
  <si>
    <t>BLOCOS DE FUNDAÇÃO</t>
  </si>
  <si>
    <t>MOTOBOMBA TRASH (PARA ÁGUA SUJA) AUTOESCOVANTE, MOTOR A GASOLINA DE 6,41 HP, DIÂMETRO DE SUCÇÃO X RECALQUE (3" X 3"), 60 M3/H A 23 MCA</t>
  </si>
  <si>
    <t>MATERIAL E EQUIPAMENTOS</t>
  </si>
  <si>
    <t>KG</t>
  </si>
  <si>
    <t>H</t>
  </si>
  <si>
    <t>M2</t>
  </si>
  <si>
    <t>ARMAÇÃO DE BLOCO UTILIZANDO AÇO CA-50 DE 10 MM</t>
  </si>
  <si>
    <t>M3</t>
  </si>
  <si>
    <t>FABRICAÇÃO, MONTAGEM E DESMONTAGEM DE FÔRMA PARA BLOCO DE COROAMENTO EM MADEIRA SERRADA, ESP: 25 MM, 4 UTILIZAÇÕES</t>
  </si>
  <si>
    <t>MESOESTRUTURA</t>
  </si>
  <si>
    <t>CORTINAS DE CONCRETO ARMADO</t>
  </si>
  <si>
    <t>FABRICAÇÃO, MONTAGEM E DESMONTAGEM DE FÔRMA PARA CORTINA DE CONTENÇÃO EM CHAPA DE MADEIRA COMPENSADA PLASTIFICADA, ESP: 18 MM, 10 UTILIZAÇÕES</t>
  </si>
  <si>
    <t>4.1.4</t>
  </si>
  <si>
    <t>M</t>
  </si>
  <si>
    <t>VIBRADOR DE IMERSÃO, DIÂMETRO DE 45 MM, MOTOR ELÉTRICO</t>
  </si>
  <si>
    <t>4.1.5</t>
  </si>
  <si>
    <t>RIPA NÃO APARELHADA, 1,5 X 1,5 CM</t>
  </si>
  <si>
    <t>PREGO DE AÇO POLIDO COM CABEÇA 17X24</t>
  </si>
  <si>
    <t>SISTEMA DE TRAVAMENTO PARA CORTINA DE CONCRETO ARMADO, COM RIPAS DE 1,5X15 CM, ESPAÇADAS A CADA 50 CM, ESCORADAS COM PONTALETE EM EUCALIPTO COM DIÂMETRO ENTRE 8 A 11 CM</t>
  </si>
  <si>
    <t xml:space="preserve">SUPERESTRUTURA </t>
  </si>
  <si>
    <t>ARMAÇÃO DE VIGA DE ESTRUTURA DE CONCRETO ARMADO, UTILIZANDO AÇO CA-50 DE 8,0 MM</t>
  </si>
  <si>
    <t>ARMAÇÃO DE VIGA DE ESTRUTURA DE CONCRETO ARMADO, UTILIZANDO AÇO CA-50 DE 16,0 MM</t>
  </si>
  <si>
    <t>COMPOSIÇÃO 4</t>
  </si>
  <si>
    <t>LIMPEZA FINAL DE OBRA</t>
  </si>
  <si>
    <t>COMPOSIÇÃO 5</t>
  </si>
  <si>
    <t>DRENAGEM TABULEIRO</t>
  </si>
  <si>
    <t>TOTAL</t>
  </si>
  <si>
    <t>60 DIAS</t>
  </si>
  <si>
    <t>4.2</t>
  </si>
  <si>
    <t>ARATIBA - RS</t>
  </si>
  <si>
    <t>SINAPI REF. 04/2024 PORTO ALEGRE (DESONERADO) / SICRO 01/2024</t>
  </si>
  <si>
    <t>ADMINISTRAÇÃO CENTRAL E MOBILIZAÇÃO DE EQUIPAMENTOS</t>
  </si>
  <si>
    <t>ADMINISTRAÇÃO LOCAL</t>
  </si>
  <si>
    <t>ADMINISTRAÇÃO LOCAL E MOBILIZAÇÃO DE EQUIPAMENTOS</t>
  </si>
  <si>
    <t>MOBILIZAÇÃO DE EQUIPAMENTOS</t>
  </si>
  <si>
    <t>ENGENHEIRO CIVIL SÊNIOR C/ ENCARGOS COMPLEMENTARES</t>
  </si>
  <si>
    <t>ENCARREGADO GERAL DE OBRAS C/ ENCARGOS COMPLEMENTARES</t>
  </si>
  <si>
    <t>AUXILIAR DE ESCRITÓRIO C/ ENCARGOS COMPLEMENTARES</t>
  </si>
  <si>
    <t>MESES</t>
  </si>
  <si>
    <t>COEF. DE PROPORCIONALIDADE</t>
  </si>
  <si>
    <t>PROFISSIONAIS</t>
  </si>
  <si>
    <t>DIAS TRAB. EFETIVAMENTE</t>
  </si>
  <si>
    <t>PROPORCIONALIDADE</t>
  </si>
  <si>
    <t>DIAS DE OBRA/MÊS</t>
  </si>
  <si>
    <t>2.2.1</t>
  </si>
  <si>
    <t>2.2.2</t>
  </si>
  <si>
    <t>2.2.3</t>
  </si>
  <si>
    <t>CANTEIRO DE OBRAS</t>
  </si>
  <si>
    <t>TOPOGRAFO COM ENCARGOS COMPLEMENTARES</t>
  </si>
  <si>
    <t>AUXILIAR DE TOPOGRAFO COM ENCARGOS COMPLEMENTARES</t>
  </si>
  <si>
    <t>LOCAÇÃO DE CONTAINER 2,30 M X 6,00 M, ALTURA DE 2,50 M, COM 1 SANITÁRIO, PARA ESCRITÓRIO COMPLETO, SEM DIVISÓRIAS INTERNAS</t>
  </si>
  <si>
    <t>EXECUÇÃO DE DEPÓSITO EM CANTEIRO DE OBRA EM CHAPA DE MADEIRA COMPENSADA, NÃO INCLUSO MOBILIÁRIO</t>
  </si>
  <si>
    <t>TRAMA DE MADEIRA COMPOSTA POR TERÇAS PARA TELHADO DE ATÉ 2 ÁGUAS PARA TELHA ONDULADA DE FIBROCIMENTO, INCLUSO TRANSPORTE VERTICAL</t>
  </si>
  <si>
    <t>TELHAMENTO COM TELHA ONDULADA DE FIBROCIMENTO, ESP. 6 MM, COM RECOBRIMENTO LATERAL DE 1 1/4 DE ONDA PARA TELHADO COM INCLINAÇÃO MÁXIMA DE 10º, COM ATÉ 2 ÁGUAS, INCLUSO IÇAMENTO</t>
  </si>
  <si>
    <t>PAREDE EM MADEIRA COMPENSADA PARA CONSTRUÇÃO TEMPORÁRIA EM CHAPA SIMPLES, EXTERNA, COM ÁREA LIQUIDA MAIOR QUE 6 M2, SEM VÃO</t>
  </si>
  <si>
    <t>PONTALETE ROLIÇO, D: 8 A 11 CM, H: 3 M, EM EUCALIPTO OU EQUIVALENTE</t>
  </si>
  <si>
    <t>ESCAVAÇÃO MANUAL DE VALA COM PROFUNDIDADE MENOR OU IGUAL A 1,30 M</t>
  </si>
  <si>
    <t>REATERRO MANUAL DE VALAS COM COMPACTADOR DE SOLOS DE PERCUSSÃO</t>
  </si>
  <si>
    <t>MARCENEIRO COM ENCARGOS COMPLEMENTARES</t>
  </si>
  <si>
    <t>SERVENTE COM ENCARGOS COMPLEMENTARES</t>
  </si>
  <si>
    <t>PORTA DE ABRIR EM AÇO, TIPO VENEZIANA, 90X210 CM, INCLUI FECHADURA, MAÇANETA E PARAFUSOS</t>
  </si>
  <si>
    <t>LEVANTAMENTO TOPOGRÁFICO PARA AUXILIO DE LOCAÇÃO DA OBRA</t>
  </si>
  <si>
    <t>PREGO DE AÇO POLIDO 17X27</t>
  </si>
  <si>
    <t>COMPOSIÇÃO 6</t>
  </si>
  <si>
    <t>ÓLEO DIESEL COMUM S-10 OU S-500</t>
  </si>
  <si>
    <t>L</t>
  </si>
  <si>
    <t>LOCAÇÃO DE GRUPO GERADOR 80 A 125 KVA, MOTOR A DIESEL, REBOCAVEL, ACIONAMENTO MANUAL, INCLUSO COMBUSTIVEL S-10 OU S-500</t>
  </si>
  <si>
    <t>SINALIZAÇÃO DE OBRA COM TELA PLÁSTICA LARANJA, TIPO TAPUME PARA SINALIZAÇÃO, MALHA RETANGULAR</t>
  </si>
  <si>
    <t>2.2.4</t>
  </si>
  <si>
    <t>SINALIZAÇÃO DE OBRA COM TELA PLÁSTICA LARANJA, TIPO TAPUME PARA SINALIZAÇÃO, MALHA RETANGULAR - FORNECIMENTO E INSTALAÇÃO</t>
  </si>
  <si>
    <t>CAIBRO 5X5 CM EM PINUS - BRUTO</t>
  </si>
  <si>
    <t>COMPOSIÇÃO 7</t>
  </si>
  <si>
    <t>SICRO</t>
  </si>
  <si>
    <t>PLACA DE SINALIZAÇÃO DE OBRAS MONTADA EM CAVALETE METÁLICO - 1 X 1 M - FORNECIMENTO, 1 IMPLANTAÇÃO E 1 RETIRADA DIÁRIA (4UNIDADES X 120 DIAS)</t>
  </si>
  <si>
    <t>ARMAÇÃO DE BLOCO UTILIZANDO AÇO CA-50 DE 8 MM</t>
  </si>
  <si>
    <t>CONCRETAGEM DE BLOCO DE COROAMENTO, FCK 30 MPA, COM USO DE BOMBA - LANÇAMENTO, ADENSAMENTO E ACABAMENTO</t>
  </si>
  <si>
    <t>TRANSPORTE COM CAMINHÃO BETONEIRA - RODOVIA PAVIMENTADA</t>
  </si>
  <si>
    <t>TKM</t>
  </si>
  <si>
    <t>5.1.2</t>
  </si>
  <si>
    <t>5.1.3</t>
  </si>
  <si>
    <t>5.1.4</t>
  </si>
  <si>
    <t>5.1.5</t>
  </si>
  <si>
    <t>5.1.6</t>
  </si>
  <si>
    <t xml:space="preserve">ARMAÇÃO DE CORTINA DE CONTENÇÃO EM CONCRETO ARMADO, AÇO CA-50 DE 8 MM </t>
  </si>
  <si>
    <t xml:space="preserve">ARMAÇÃO DE CORTINA DE CONTENÇÃO EM CONCRETO ARMADO, AÇO CA-50 DE 10 MM </t>
  </si>
  <si>
    <t>ARMAÇÃO DE CORTINA DE CONTENÇÃO EM CONCRETO ARMADO, COM AÇO CA-50 DE 12,5 MM</t>
  </si>
  <si>
    <t>ARMAÇÃO DE CORTINA DE CONTENÇÃO EM CONCRETO ARMADO, COM AÇO CA-50 DE 16 MM</t>
  </si>
  <si>
    <t>COMPOSIÇÃO 8</t>
  </si>
  <si>
    <t>5.2</t>
  </si>
  <si>
    <t>PILAR CENTRAL</t>
  </si>
  <si>
    <t>5.2.1</t>
  </si>
  <si>
    <t>5.2.2</t>
  </si>
  <si>
    <t>5.2.3</t>
  </si>
  <si>
    <t>MONTAGEM E DESMONTAGEM DE FÔRMA DE PILARES RETANGULARES E ESTRUTURAS SIMILARES, PÉ DIREITO DUPLO, EM CHAPA DE MADEIRA COMPENSADA PLASTIFICADA, 18 UTILIZAÇÕES</t>
  </si>
  <si>
    <t>ARMAÇÃO DE PILAR UTILIZANDO AÇO CA-50 DE 8 MM</t>
  </si>
  <si>
    <t>5.2.4</t>
  </si>
  <si>
    <t>ARMAÇÃO DE PILAR UTILIZANDO AÇO CA-50 DE 16 MM</t>
  </si>
  <si>
    <t>ARMAÇÃO DE PILAR UTILIZANDO AÇO CA-50 DE 10 MM</t>
  </si>
  <si>
    <t>CONCRETAGEM DE CORTINA/PILAR DE CONTENÇÃO, ATRAVÉS DE BOMBA, CONCRETO FCK 30 MPA - LANÇAMENTO, ADENSAMENTO E ACABAMENTO</t>
  </si>
  <si>
    <t>5.2.5</t>
  </si>
  <si>
    <t>AMPLIAÇÃO DAS ALAS (ACIMA DA COTA DA CORTINA)</t>
  </si>
  <si>
    <t>5.3</t>
  </si>
  <si>
    <t>5.3.1</t>
  </si>
  <si>
    <t>5.3.2</t>
  </si>
  <si>
    <t>5.3.3</t>
  </si>
  <si>
    <t>5.3.4</t>
  </si>
  <si>
    <t>5.3.5</t>
  </si>
  <si>
    <t>5.3.6</t>
  </si>
  <si>
    <t>6.1</t>
  </si>
  <si>
    <t>6.1.1</t>
  </si>
  <si>
    <t>ARMAÇÃO DE VIGA DE ESTRUTURA DE CONCRETO ARMADO, UTILIZANDO AÇO CA-60 DE 5 MM</t>
  </si>
  <si>
    <t>ARMAÇÃO DE VIGA DE ESTRUTURA DE CONCRETO ARMADO, UTILIZANDO AÇO CA-50 DE 10 MM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</si>
  <si>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</si>
  <si>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</si>
  <si>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</si>
  <si>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</si>
  <si>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</si>
  <si>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</si>
  <si>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</si>
  <si>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</si>
  <si>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ARMAÇÃO DE VIGA DE ESTRUTURA DE CONCRETO ARMADO, UTILIZANDO AÇO CA-50 DE 12,50 MM</t>
  </si>
  <si>
    <t>FÔRMA METÁLICA PARA VIGA DE CONCRE PRÉ-MOLDADA PROTENDIDA PARA OAE  UTILIZAÇÃO 20 VEZES - CONFECÇÃO, INSTALAÇÃO E RETIRADA</t>
  </si>
  <si>
    <t>CORDOALHA CP 190 RB - DN 15,2 MM - FORNECIMENTO E INSTALAÇÃO</t>
  </si>
  <si>
    <t>ANCORAGEM ATIVA COM 4 CORDOALHAS ADERENTES D: 15,2 MM - FORNECIMENTO E INSTALAÇÃO</t>
  </si>
  <si>
    <t>LONGARINAS EM CONCRETO PRÉ-MOLDADO PROTENDIDO (8 UNIDADES) - 18 m</t>
  </si>
  <si>
    <t>FIO CP-170 RB, DN 7,0 MM</t>
  </si>
  <si>
    <t>BAINHA METÁLICA REDONDA D: 45 MM PARA 4 CORDOALHAS D: 15,2 MM - FORNECIMENTO, INSTALAÇÃO E INJEÇÃO DE NATA DE CIMENTO</t>
  </si>
  <si>
    <t>6.1.10</t>
  </si>
  <si>
    <t>COMPOSIÇÃO 9</t>
  </si>
  <si>
    <t>CONCRETO USINADO BOMBEÁVEL, 40 MPA, COM BRITA 0 E 1, SLUMP: 100 +/- 20 MM, COM BOMBEAMENTO (DISPONIBILIZAÇÃO DE BOMBA) SEM O LANÇAMENTO</t>
  </si>
  <si>
    <t>PEDREIRO C/ ENCARGOS COMPLEMENTARES</t>
  </si>
  <si>
    <t>6.1.11</t>
  </si>
  <si>
    <t>6.1.12</t>
  </si>
  <si>
    <t>6.1.13</t>
  </si>
  <si>
    <t>KM</t>
  </si>
  <si>
    <t>6.1.14</t>
  </si>
  <si>
    <t>6.1.15</t>
  </si>
  <si>
    <t>LANÇAMENTO DE VIGA PRÉ-MOLDADA DE ATÉ 500 KN COM UTILIZAÇÃO DE GUINDASTE</t>
  </si>
  <si>
    <t>6.2</t>
  </si>
  <si>
    <t>TRANSVERSINAS</t>
  </si>
  <si>
    <t>6.2.1</t>
  </si>
  <si>
    <t>6.2.2</t>
  </si>
  <si>
    <t>6.2.3</t>
  </si>
  <si>
    <r>
      <t>FABRICAÇÃO, MONTAGEM E DESMONTAGEM DE FÔRMA PARA TRANSVERSINA DE CONTENÇÃO EM CHAPA DE MADEIRA COMPENSADA PLASTIFICADA, ESP: 18 MM, 10 UTILIZAÇÕES (</t>
    </r>
    <r>
      <rPr>
        <b/>
        <sz val="11"/>
        <rFont val="Calibri"/>
        <family val="2"/>
        <scheme val="minor"/>
      </rPr>
      <t>REUTILIZAÇÃO DE MADEIRA DA CORTINA</t>
    </r>
    <r>
      <rPr>
        <sz val="11"/>
        <rFont val="Calibri"/>
        <family val="2"/>
        <scheme val="minor"/>
      </rPr>
      <t>)</t>
    </r>
  </si>
  <si>
    <t>6.2.4</t>
  </si>
  <si>
    <t>6.2.5</t>
  </si>
  <si>
    <t>6.3</t>
  </si>
  <si>
    <t>6.3.1</t>
  </si>
  <si>
    <t>6.3.2</t>
  </si>
  <si>
    <t>TRELICA NERVURADA (ESPACADOR), ALTURA = 120,0 MM, DIAMETRO DOS BANZOS INFERIORES E SUPERIOR = 6,0 MM, DIAMETRO DA DIAGONAL = 4,2 MM</t>
  </si>
  <si>
    <t>CONCRETAGEM DE VIGAS OU LAJE, FCK 40 MPA, COM USO DE BOMBA - LANÇAMENTO, ADENSAMENTO E ACABAMENTO</t>
  </si>
  <si>
    <t>CONCRETAGEM DE VIGAS OU LAJES, FCK 40 MPA, COM USO DE BOMBA - LANÇAMENTO, ADENSAMENTO E ACABAMENTO</t>
  </si>
  <si>
    <t>6.3.3</t>
  </si>
  <si>
    <t>6.3.4</t>
  </si>
  <si>
    <t xml:space="preserve">ARMAÇÃO DE LAJE DE ESTRUTURA DE CONCRETO ARMADO UTILIZANDO AÇO CA-60 DE 5,0 MM </t>
  </si>
  <si>
    <t>6.3.5</t>
  </si>
  <si>
    <t>ARMAÇÃO DE LAJE DE ESTRUTURA DE CONCRETO ARMADO UTILIZANDO AÇO CA-50 DE 8,0 MM (IÇAMENTO)</t>
  </si>
  <si>
    <t>6.3.6</t>
  </si>
  <si>
    <t>6.3.7</t>
  </si>
  <si>
    <t>6.3.8</t>
  </si>
  <si>
    <t>LANÇAMENTO DE PRÉ-LAJE COM A UTILIZAÇÃO DE GUINDAUTO</t>
  </si>
  <si>
    <t>T</t>
  </si>
  <si>
    <t>TELA DE AÇO SOLDADA NERVURADA, CA-60, Q-196 (3,11 KG/M2), DIÂMETRO DO FIO DE 5 MM, ESPAÇAMENTO DA MALHA 10X10 CM</t>
  </si>
  <si>
    <t>6.4</t>
  </si>
  <si>
    <t>6.4.1</t>
  </si>
  <si>
    <t>TUBO DE PVC, SÉRIE R, ÁGUA PLUVIAL, DN 100 MM, FORNECIMENTO E INSTALAÇÃO (0,50 M/PONTO, TRANSPASSANDO 30 CM DO FUNDO DA LAJE)</t>
  </si>
  <si>
    <t>6.4.2</t>
  </si>
  <si>
    <t>GUARDA CORPO</t>
  </si>
  <si>
    <t>GUARDA CORPO METÁLICO</t>
  </si>
  <si>
    <t>CONCRETAGEM DE VIGAS OU LAJES, FCK 40 MPA, COM USO DE BOMBA - LANÇAMENTO, ADENSAMENTO E ACABAMENTO (INCLUI GUARDA RODAS)</t>
  </si>
  <si>
    <t>7.1</t>
  </si>
  <si>
    <t>7.1.1</t>
  </si>
  <si>
    <t>GUARDA-CORPO DE AÇO GALVANIZADO DE 1,10M DE ALTURA, MONTANTES TUBULARES DE 1.1/2 ESPAÇADOS DE 1,20M, TRAVESSA SUPERIOR DE 2 , GRADIL FORMADO POR BARRAS CHATAS EM FERRO DE 32X4,8MM, FIXADO COM CHUMBADOR MECÂNICO</t>
  </si>
  <si>
    <t xml:space="preserve">SINALIZAÇÃO </t>
  </si>
  <si>
    <t>SINALIZAÇÃO HORIZONTAL E VERTICAL</t>
  </si>
  <si>
    <t>8.1</t>
  </si>
  <si>
    <t>8.1.1</t>
  </si>
  <si>
    <t>FURO MECANIZADO EM CONCRETO, DIÂMETRO MAIORES QUE 75 MM OU IGUAIS A 150 MM</t>
  </si>
  <si>
    <t>PINTURA DE FAIXA COM TINTA ACRILICA - ESP. 4 MM (2 FAIXAS NO EIXO E 1 FAIXA EM CADA LATERAL)</t>
  </si>
  <si>
    <t>8.1.2</t>
  </si>
  <si>
    <t>8.1.3</t>
  </si>
  <si>
    <t>9.1</t>
  </si>
  <si>
    <t>9.1.1</t>
  </si>
  <si>
    <t>GILBERTO LUIZ HENDGES</t>
  </si>
  <si>
    <t>LAJE DE CAPEAMENTO</t>
  </si>
  <si>
    <t>PRÉ-LAJE EM CONCRETO ARMADO (L1)</t>
  </si>
  <si>
    <t>6.4.3</t>
  </si>
  <si>
    <t>6.4.4</t>
  </si>
  <si>
    <t>6.4.5</t>
  </si>
  <si>
    <t>FABRICAÇÃO DE FÔRMA PARA LAJES, EM CHAPA DE MADEIRA COMPENSADA RESINADA, ESP: 17 MM</t>
  </si>
  <si>
    <t>ARMAÇÃO DE LAJE DE ESTRUTURA DE CONCRETO ARMADO UTILIZANDO AÇO CA-50 DE 8,0 MM (GUARDA RODAS)</t>
  </si>
  <si>
    <t>ARMAÇÃO DE LAJE DE ESTRUTURA DE CONCRETO ARMADO UTILIZANDO AÇO CA-50 DE 10,0 MM</t>
  </si>
  <si>
    <t>FABRICAÇÃO DE FÔRMA PARA LAJES, EM CHAPA DE MADEIRA COMPENSADA RESINADA, ESP: 17 MM (BEIRAL MACIÇO DO TABULEIRO E GUARDA RODAS)</t>
  </si>
  <si>
    <t>CONTAINER, GERADOR E SINALIZAÇÃO DE OBRA</t>
  </si>
  <si>
    <t>8.1.4</t>
  </si>
  <si>
    <t>PLACA DE ADVERTÊNCIA EM AÇO A-22, LADO DE 60 CM - PELÍCULA RETRORREFLETIVA TIPO I + SI - FORNECIMENTO E IMPLANTAÇÃO</t>
  </si>
  <si>
    <t xml:space="preserve">SUPORTE METÁLICO GALVANIZADO PARA PLACA DE ADVERTÊNCIA OU REGULAMENTAÇÃO - LADO OU DIÂMETRO DE 60 CM - FORNECIMENTO E IMPLANTAÇÃO </t>
  </si>
  <si>
    <r>
      <t xml:space="preserve">PLACA DE ADVERTÊNCIA EM AÇO, LADO DE 1M - PELÍCULA RETRORREFLETIVA TIPO I + SI - FORNECIMENTO E IMPLANTAÇÃO </t>
    </r>
    <r>
      <rPr>
        <b/>
        <sz val="11"/>
        <rFont val="Calibri"/>
        <family val="2"/>
        <scheme val="minor"/>
      </rPr>
      <t>(PONTE SOBRE O RIO DOURADO - EXTENSÃO 35 M - CLASSE 45T)</t>
    </r>
  </si>
  <si>
    <t xml:space="preserve">SUPORTE METÁLICO GALVANIZADO PARA PLACA DE ADVERTÊNCIA OU REGULAMENTAÇÃO - LADO OU DIÂMETRO DE 1,00 M - FORNECIMENTO E IMPLANTAÇÃO </t>
  </si>
  <si>
    <t>MUNICÍPIO DE ARATIBA</t>
  </si>
  <si>
    <t>CONSTRUÇÃO DE PONTE EM CONCRETO ARMADO PROTENDIDO COM EXTENSÃO DE 36,00 M DE COMPRIMENTO X 6,00 M DE LARGURA</t>
  </si>
  <si>
    <t>LOCAL: SEDE DOURADO, INTERIOR, ARATIBA/RS</t>
  </si>
  <si>
    <t>8.1.5</t>
  </si>
  <si>
    <t>LIMPEZA DE SUPERFICIE COM JATO DE ALTA PRESSÃO (TABULEIRO)</t>
  </si>
  <si>
    <t>MOBILIZAÇÃO E DESMOBILIZAÇÃO DE EQUIPAMENTOS RODOVIÁRIOS</t>
  </si>
  <si>
    <t>VELOCIDADE MÉDIA DE TRANSPORTE SEGUNDO MANUAL DE CUSTOS DE INFRAESTRUTURA DE TRANSPORTES DO DNIT: 60 km/h para trecho pavimentado e 40 km/h para trecho com revestimento primário</t>
  </si>
  <si>
    <t>CUSTOS RELACIONADOS A MOBILIZAÇÃO DE EQUIPAMENTOS</t>
  </si>
  <si>
    <t>EQUIPAMENTO TRANSPORTADO</t>
  </si>
  <si>
    <t>QUANTIDADE DE EQUIP.</t>
  </si>
  <si>
    <t>ORIGEM</t>
  </si>
  <si>
    <t>DESTINO</t>
  </si>
  <si>
    <t xml:space="preserve">DMT (km) </t>
  </si>
  <si>
    <t>VELOCIDADE MÉDIA (km/h)</t>
  </si>
  <si>
    <t>TEMPO DE VIAGEM (h)</t>
  </si>
  <si>
    <t>CUSTO TRANSP. (R$)</t>
  </si>
  <si>
    <t>VALOR TOTAL (R$)</t>
  </si>
  <si>
    <t>EQUIPAMENTO</t>
  </si>
  <si>
    <t>SICRO-E</t>
  </si>
  <si>
    <t>E9665</t>
  </si>
  <si>
    <t>Empresa</t>
  </si>
  <si>
    <t>Obra</t>
  </si>
  <si>
    <t>1.4</t>
  </si>
  <si>
    <t>DMT: 51,8 km</t>
  </si>
  <si>
    <t>EQUIPAMENTOS MÉDIO PORTE (TRECHO PAVIMENTADO)</t>
  </si>
  <si>
    <t>GRUPO GERADOR 80 A 125 KVA</t>
  </si>
  <si>
    <t>E9304</t>
  </si>
  <si>
    <t>CAMINHÃO PLATAF.</t>
  </si>
  <si>
    <t>CAMINHÃO CARROCERIA COM GUINDAUTO CAPACIDADE DE 20 T.M</t>
  </si>
  <si>
    <t>GUNDASTE ARTICULADO MONTADO SOBRE CHASSI COM CAPACIDADE DE 20 T.M</t>
  </si>
  <si>
    <t>GUNDASTE MÓVEL SOBRE PNEUS COM 2 EIXOS COM CAP. MÁX DE 55 T</t>
  </si>
  <si>
    <t>E9785</t>
  </si>
  <si>
    <t>CAMINHÃO</t>
  </si>
  <si>
    <t>CUSTOS RELACIONADOS A DESMOBILIZAÇÃO DE EQUIPAMENTOS</t>
  </si>
  <si>
    <t>SERVIÇOS FINAIS</t>
  </si>
  <si>
    <t>9.2</t>
  </si>
  <si>
    <t>9.2.1</t>
  </si>
  <si>
    <t>9.2.2</t>
  </si>
  <si>
    <t>DESMOBILIZAÇÃO DE EQUIPAMENTOS</t>
  </si>
  <si>
    <t xml:space="preserve">DESMOBILIZAÇÃO </t>
  </si>
  <si>
    <t>COMPOSIÇÃO 10</t>
  </si>
  <si>
    <t>90 DIAS</t>
  </si>
  <si>
    <t>120 DIAS</t>
  </si>
  <si>
    <t>CRONOGRAMA FÍSICO- FINANCEIRO</t>
  </si>
  <si>
    <t>DALTRO VANSO</t>
  </si>
  <si>
    <t xml:space="preserve">ENGENHEIRO CIVIL </t>
  </si>
  <si>
    <t>6.1.16</t>
  </si>
  <si>
    <t>DM3</t>
  </si>
  <si>
    <t>APARELHO DE APOIO DE NEOPRENE FRETADO PARA ESTRUTURAS PRÉ-MOLDADAS - FORNECIMENTO E INSTALAÇÃO (400X250X42 MM)</t>
  </si>
  <si>
    <t>% TOTAL</t>
  </si>
  <si>
    <t xml:space="preserve">ARMAÇÃO DE BLOCO UTILIZANDO AÇO CA-50 DE 16 MM </t>
  </si>
  <si>
    <t>ARMAÇÃO DE BLOCO UTILIZANDO AÇO CA-50 DE 16 MM (PINOS EM ROCHA)</t>
  </si>
  <si>
    <t>SICRP</t>
  </si>
  <si>
    <t>FORNECIMENTO E APLICAÇÃO DE ADESIVO ESTRUTURAL A BASE DE RESINA EPOXI</t>
  </si>
  <si>
    <t>PINOS EM ROCHA</t>
  </si>
  <si>
    <t xml:space="preserve">PERFURATRIZ PARA FURO EM ROCHA COM CAPACIDADE ATÉ 89 KN, POTÊNCIA 24,8 HP A 80 HP - INCLUSO FERRAMENTAS E LOCALIZADOR </t>
  </si>
  <si>
    <t>TxKM</t>
  </si>
  <si>
    <t>TRANSPORTE COM CAMINHÃO BASCULANTE DE 10 M³, EM VIA URBANA PAVIMENTADA, DMT ATÉ 30 KM (TRANSPORTE DO AÇO - DMT GERDAU PF)</t>
  </si>
  <si>
    <t>TRANSPORTE COM CAMINHÃO BASCULANTE DE 10 M³, EM VIA URBANA PAVIMENTADA, ADICIONAL PARA DMT EXCEDENTE A 30 KM (TRANSPORTE DO AÇO - DMT GERDAU PF)</t>
  </si>
  <si>
    <t>5.1.7</t>
  </si>
  <si>
    <t>5.1.8</t>
  </si>
  <si>
    <t>5.2.6</t>
  </si>
  <si>
    <t>5.2.7</t>
  </si>
  <si>
    <t>5.3.7</t>
  </si>
  <si>
    <t>5.3.8</t>
  </si>
  <si>
    <t>6.1.17</t>
  </si>
  <si>
    <t>6.1.18</t>
  </si>
  <si>
    <t>6.2.6</t>
  </si>
  <si>
    <t>6.2.7</t>
  </si>
  <si>
    <t>6.3.9</t>
  </si>
  <si>
    <t>6.3.10</t>
  </si>
  <si>
    <t>6.4.6</t>
  </si>
  <si>
    <t>6.4.7</t>
  </si>
  <si>
    <t>3.1.3</t>
  </si>
  <si>
    <t>3.1.4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</si>
  <si>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</si>
  <si>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</si>
  <si>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</si>
  <si>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</si>
  <si>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</si>
  <si>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</si>
  <si>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</si>
  <si>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</si>
  <si>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</si>
  <si>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5.1.9</t>
  </si>
  <si>
    <t>5.1.10</t>
  </si>
  <si>
    <t>6.5</t>
  </si>
  <si>
    <t>6.5.1</t>
  </si>
  <si>
    <t>6.5.2</t>
  </si>
  <si>
    <t>MATERIAL/EQUIP.</t>
  </si>
  <si>
    <t>ESCAVAÇÃO MANUAL PARA BLOCO DE COROAMENTO (INCLUINDO ESCAVAÇÃO PARA COLOCAÇÃO DE FÔRMAS)</t>
  </si>
  <si>
    <t>4.2.10</t>
  </si>
  <si>
    <t>OPERADOR DE PERFURATRIZ/ROMPEDOR COM ENCARGOS COMPLEMENTARES</t>
  </si>
  <si>
    <t>4.2.11</t>
  </si>
  <si>
    <t>TRANSPORTE EM CAVALO MECÂNICO COM DOLLY 4 EIXOS COM CAPACIDADE DE 57 T - RODOVIA PAVIMENTADA</t>
  </si>
  <si>
    <t>CARGA, DESCARGA E MANOBRA DE VIGAS PRÉ-MOLDADAS DE ATÉ 500 KN EM CAVALO MECÂNICO COM DOLLY DE 4 EIXOS COM CAPACIDADE DE 57 T</t>
  </si>
  <si>
    <t>4UNID/120DIAS</t>
  </si>
  <si>
    <t>MEMORIAL DE QUANTIDADES</t>
  </si>
  <si>
    <t>Largura (m):</t>
  </si>
  <si>
    <t>Comprimento (m)</t>
  </si>
  <si>
    <t>Total (m):</t>
  </si>
  <si>
    <t>Total final (m):</t>
  </si>
  <si>
    <t>Obs: Adicionado 1m a mais para extremidade, totalizando 8m a mais.</t>
  </si>
  <si>
    <t>Quantidade de dias:</t>
  </si>
  <si>
    <t>Horas ligado/dia:</t>
  </si>
  <si>
    <t>Total (h):</t>
  </si>
  <si>
    <t>Quantidade de pinos:</t>
  </si>
  <si>
    <t>Fixação (h/pino):</t>
  </si>
  <si>
    <t>Total arredondado (h):</t>
  </si>
  <si>
    <t>Obs: Considerado o tempo de 16 min para perfuração de cada pino.</t>
  </si>
  <si>
    <t>Volume bloco cabeceiras (m³):</t>
  </si>
  <si>
    <t>Comprimento (m):</t>
  </si>
  <si>
    <t>Altura (m):</t>
  </si>
  <si>
    <t>Volume 2 blocos (m³):</t>
  </si>
  <si>
    <t>Obs: Os blocos localizados nas duas cabeceiras serão escavados em sua totalidade, devido ao aumento na extensão da ponte.</t>
  </si>
  <si>
    <t>Tempo de execução/bloco (dias):</t>
  </si>
  <si>
    <t>Obs: Consisderando que a bomba trabalhe 50% do tempo da execução do bloco.</t>
  </si>
  <si>
    <t>Horas trabalhadas (dia):</t>
  </si>
  <si>
    <t>Total de horas para execução de 1 bloco:</t>
  </si>
  <si>
    <t>Horas trabalhadas (bomba):</t>
  </si>
  <si>
    <t>Horas trabalhadas (bomba) para 2 blocos:</t>
  </si>
  <si>
    <t>Área 1 bloco (m²):</t>
  </si>
  <si>
    <t>Área 2 blocos (m²):</t>
  </si>
  <si>
    <t>BLOCO PILAR CENTRAL</t>
  </si>
  <si>
    <t>BLOCO CORTINAS</t>
  </si>
  <si>
    <t>Área bloco (m²):</t>
  </si>
  <si>
    <t>ÁREA TOTAL (m²)</t>
  </si>
  <si>
    <t>Área frente (m²):</t>
  </si>
  <si>
    <t>Área lateral (m²):</t>
  </si>
  <si>
    <t>Fechamento (m²):</t>
  </si>
  <si>
    <t>Área total 1 cortina (m²):</t>
  </si>
  <si>
    <t>Área total 2 cortinas (m²):</t>
  </si>
  <si>
    <t>Área total  (m²):</t>
  </si>
  <si>
    <t>Área total (m²):</t>
  </si>
  <si>
    <t>Espessura (m):</t>
  </si>
  <si>
    <t>Área 45º base (m²):</t>
  </si>
  <si>
    <t>Volume 1 cortina (m³):</t>
  </si>
  <si>
    <t>Volume 2 cortinas (m³):</t>
  </si>
  <si>
    <t>comprimento base (m):</t>
  </si>
  <si>
    <t>Volume total (m³):</t>
  </si>
  <si>
    <t>Área lateral por longarina (m²):</t>
  </si>
  <si>
    <t>Área de fundo por longarina (m²):</t>
  </si>
  <si>
    <t>Área total por longarina (m²):</t>
  </si>
  <si>
    <t>Área total para 8 longarinas (m²):</t>
  </si>
  <si>
    <t>Volume por longarina (m³):</t>
  </si>
  <si>
    <t>Volume para 8 longarinas (m³):</t>
  </si>
  <si>
    <t>Seção por longarina (m²):</t>
  </si>
  <si>
    <t>Comprimento por longarina (m):</t>
  </si>
  <si>
    <t>Perímetro 1 pré-laje (m):</t>
  </si>
  <si>
    <t>Área (périmetro x espessura) m²:</t>
  </si>
  <si>
    <t>Área fundo m²:</t>
  </si>
  <si>
    <t>Área total por pré-laje (m²):</t>
  </si>
  <si>
    <t>Quantidade de pré-lajes:</t>
  </si>
  <si>
    <t>Área fundo (m²):</t>
  </si>
  <si>
    <t>Volume por pré-laje (m³):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</si>
</sst>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0"/>
    <numFmt numFmtId="168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6" tint="0.79998168889431442"/>
        <bgColor indexed="65"/>
      </patternFill>
    </fill>
  </fills>
  <borders count="2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7" fillId="3" borderId="0" applyNumberFormat="0" applyBorder="0" applyAlignment="0" applyProtection="0"/>
    <xf numFmtId="0" fontId="8" fillId="0" borderId="0"/>
    <xf numFmtId="0" fontId="9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7" fillId="4" borderId="0" applyNumberFormat="0" applyBorder="0" applyAlignment="0" applyProtection="0"/>
    <xf numFmtId="0" fontId="1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188">
    <xf numFmtId="0" fontId="0" fillId="0" borderId="0" xfId="0"/>
    <xf numFmtId="0" fontId="5" fillId="2" borderId="7" xfId="3" applyFont="1" applyBorder="1" applyAlignment="1">
      <alignment horizontal="left" vertical="center"/>
    </xf>
    <xf numFmtId="44" fontId="5" fillId="2" borderId="8" xfId="3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44" fontId="0" fillId="0" borderId="0" xfId="0" applyNumberFormat="1"/>
    <xf numFmtId="0" fontId="3" fillId="0" borderId="0" xfId="0" applyFont="1"/>
    <xf numFmtId="44" fontId="6" fillId="0" borderId="5" xfId="1" applyFont="1" applyBorder="1"/>
    <xf numFmtId="0" fontId="6" fillId="0" borderId="0" xfId="0" applyFont="1"/>
    <xf numFmtId="9" fontId="0" fillId="0" borderId="0" xfId="2" applyFont="1"/>
    <xf numFmtId="10" fontId="0" fillId="0" borderId="0" xfId="2" applyNumberFormat="1" applyFont="1"/>
    <xf numFmtId="10" fontId="0" fillId="0" borderId="0" xfId="0" applyNumberFormat="1"/>
    <xf numFmtId="9" fontId="6" fillId="0" borderId="5" xfId="2" applyFont="1" applyBorder="1" applyAlignment="1">
      <alignment horizontal="center" vertical="center"/>
    </xf>
    <xf numFmtId="44" fontId="6" fillId="0" borderId="5" xfId="1" applyFont="1" applyBorder="1" applyAlignment="1">
      <alignment horizontal="left" vertical="center"/>
    </xf>
    <xf numFmtId="44" fontId="5" fillId="0" borderId="11" xfId="1" applyFont="1" applyBorder="1" applyAlignment="1">
      <alignment horizontal="left" vertical="center"/>
    </xf>
    <xf numFmtId="10" fontId="5" fillId="0" borderId="11" xfId="2" applyNumberFormat="1" applyFont="1" applyBorder="1" applyAlignment="1">
      <alignment horizontal="center" vertical="center"/>
    </xf>
    <xf numFmtId="44" fontId="5" fillId="0" borderId="13" xfId="1" applyFont="1" applyBorder="1" applyAlignment="1">
      <alignment horizontal="left" vertical="center"/>
    </xf>
    <xf numFmtId="10" fontId="5" fillId="0" borderId="13" xfId="2" applyNumberFormat="1" applyFont="1" applyBorder="1" applyAlignment="1">
      <alignment horizontal="center" vertical="center"/>
    </xf>
    <xf numFmtId="44" fontId="6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0" xfId="0" applyNumberFormat="1"/>
    <xf numFmtId="44" fontId="6" fillId="0" borderId="0" xfId="1" applyFont="1" applyBorder="1" applyAlignment="1">
      <alignment horizontal="center" vertical="center"/>
    </xf>
    <xf numFmtId="0" fontId="0" fillId="0" borderId="0" xfId="0" applyAlignment="1"/>
    <xf numFmtId="44" fontId="0" fillId="0" borderId="0" xfId="1" applyFont="1"/>
    <xf numFmtId="0" fontId="5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5" fillId="4" borderId="7" xfId="9" applyFont="1" applyBorder="1" applyAlignment="1">
      <alignment horizontal="left" vertical="center"/>
    </xf>
    <xf numFmtId="44" fontId="5" fillId="4" borderId="8" xfId="9" applyNumberFormat="1" applyFont="1" applyBorder="1" applyAlignment="1">
      <alignment vertical="center"/>
    </xf>
    <xf numFmtId="44" fontId="5" fillId="4" borderId="5" xfId="9" applyNumberFormat="1" applyFont="1" applyBorder="1"/>
    <xf numFmtId="44" fontId="5" fillId="4" borderId="5" xfId="9" applyNumberFormat="1" applyFont="1" applyBorder="1" applyAlignment="1"/>
    <xf numFmtId="0" fontId="5" fillId="4" borderId="7" xfId="9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top"/>
    </xf>
    <xf numFmtId="0" fontId="6" fillId="0" borderId="5" xfId="11" applyNumberFormat="1" applyFont="1" applyBorder="1" applyAlignment="1">
      <alignment horizontal="center" vertical="center"/>
    </xf>
    <xf numFmtId="2" fontId="0" fillId="0" borderId="5" xfId="1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44" fontId="6" fillId="0" borderId="0" xfId="1" applyFont="1" applyBorder="1"/>
    <xf numFmtId="0" fontId="5" fillId="0" borderId="19" xfId="0" applyFont="1" applyFill="1" applyBorder="1" applyAlignment="1">
      <alignment horizontal="center" vertical="center"/>
    </xf>
    <xf numFmtId="0" fontId="6" fillId="4" borderId="17" xfId="9" applyFont="1" applyBorder="1" applyAlignment="1">
      <alignment vertical="center"/>
    </xf>
    <xf numFmtId="0" fontId="6" fillId="4" borderId="18" xfId="9" applyFont="1" applyBorder="1" applyAlignment="1">
      <alignment vertical="center"/>
    </xf>
    <xf numFmtId="0" fontId="6" fillId="4" borderId="19" xfId="9" applyFont="1" applyBorder="1" applyAlignment="1">
      <alignment vertical="center"/>
    </xf>
    <xf numFmtId="0" fontId="6" fillId="4" borderId="0" xfId="9" applyFont="1" applyBorder="1" applyAlignment="1">
      <alignment vertical="center"/>
    </xf>
    <xf numFmtId="0" fontId="6" fillId="4" borderId="6" xfId="9" applyFont="1" applyBorder="1" applyAlignment="1">
      <alignment vertical="center"/>
    </xf>
    <xf numFmtId="0" fontId="6" fillId="4" borderId="7" xfId="9" applyFont="1" applyBorder="1" applyAlignment="1">
      <alignment vertical="center"/>
    </xf>
    <xf numFmtId="2" fontId="6" fillId="0" borderId="5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2" fontId="0" fillId="0" borderId="0" xfId="0" applyNumberFormat="1"/>
    <xf numFmtId="0" fontId="0" fillId="0" borderId="0" xfId="0" applyAlignment="1">
      <alignment horizontal="right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2" fontId="14" fillId="0" borderId="5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44" fontId="14" fillId="0" borderId="5" xfId="1" applyFont="1" applyBorder="1" applyAlignment="1">
      <alignment horizontal="center" vertical="center"/>
    </xf>
    <xf numFmtId="44" fontId="14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5" fillId="4" borderId="5" xfId="9" applyFont="1" applyBorder="1" applyAlignment="1">
      <alignment horizontal="left" vertical="center"/>
    </xf>
    <xf numFmtId="44" fontId="12" fillId="0" borderId="0" xfId="0" applyNumberFormat="1" applyFont="1" applyAlignment="1">
      <alignment horizontal="center" vertical="center"/>
    </xf>
    <xf numFmtId="0" fontId="4" fillId="0" borderId="0" xfId="0" applyFont="1"/>
    <xf numFmtId="0" fontId="12" fillId="0" borderId="0" xfId="0" applyFont="1" applyAlignment="1">
      <alignment horizontal="center"/>
    </xf>
    <xf numFmtId="44" fontId="12" fillId="0" borderId="0" xfId="0" applyNumberFormat="1" applyFont="1" applyAlignment="1"/>
    <xf numFmtId="0" fontId="12" fillId="0" borderId="0" xfId="0" applyFont="1" applyAlignment="1">
      <alignment vertical="center"/>
    </xf>
    <xf numFmtId="44" fontId="4" fillId="0" borderId="0" xfId="0" applyNumberFormat="1" applyFont="1"/>
    <xf numFmtId="164" fontId="0" fillId="0" borderId="0" xfId="2" applyNumberFormat="1" applyFont="1"/>
    <xf numFmtId="0" fontId="5" fillId="2" borderId="5" xfId="3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6" fillId="0" borderId="4" xfId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0" fillId="0" borderId="5" xfId="2" applyNumberFormat="1" applyFont="1" applyBorder="1" applyAlignment="1">
      <alignment horizontal="center" vertical="center"/>
    </xf>
    <xf numFmtId="164" fontId="5" fillId="4" borderId="5" xfId="9" applyNumberFormat="1" applyFont="1" applyBorder="1" applyAlignment="1">
      <alignment horizontal="center" vertical="center"/>
    </xf>
    <xf numFmtId="164" fontId="5" fillId="2" borderId="1" xfId="3" applyNumberFormat="1" applyFont="1" applyAlignment="1">
      <alignment horizontal="center" vertical="center"/>
    </xf>
    <xf numFmtId="10" fontId="5" fillId="4" borderId="5" xfId="9" applyNumberFormat="1" applyFont="1" applyBorder="1" applyAlignment="1">
      <alignment horizontal="center" vertical="center"/>
    </xf>
    <xf numFmtId="10" fontId="5" fillId="4" borderId="5" xfId="9" applyNumberFormat="1" applyFont="1" applyBorder="1" applyAlignment="1">
      <alignment horizontal="center"/>
    </xf>
    <xf numFmtId="0" fontId="5" fillId="2" borderId="5" xfId="3" applyFont="1" applyBorder="1" applyAlignment="1">
      <alignment horizontal="center" vertical="center" wrapText="1"/>
    </xf>
    <xf numFmtId="164" fontId="5" fillId="4" borderId="9" xfId="9" applyNumberFormat="1" applyFont="1" applyBorder="1" applyAlignment="1">
      <alignment horizontal="center" vertical="center"/>
    </xf>
    <xf numFmtId="0" fontId="6" fillId="2" borderId="5" xfId="3" applyFont="1" applyBorder="1" applyAlignment="1">
      <alignment horizontal="center" vertical="center" wrapText="1"/>
    </xf>
    <xf numFmtId="44" fontId="10" fillId="3" borderId="5" xfId="4" applyNumberFormat="1" applyFont="1" applyBorder="1" applyAlignment="1">
      <alignment vertical="center"/>
    </xf>
    <xf numFmtId="44" fontId="6" fillId="0" borderId="23" xfId="1" applyFont="1" applyBorder="1" applyAlignment="1">
      <alignment horizontal="center" vertical="center"/>
    </xf>
    <xf numFmtId="9" fontId="6" fillId="0" borderId="23" xfId="2" applyFont="1" applyBorder="1" applyAlignment="1">
      <alignment horizontal="center" vertical="center"/>
    </xf>
    <xf numFmtId="44" fontId="6" fillId="0" borderId="23" xfId="1" applyFont="1" applyBorder="1" applyAlignment="1">
      <alignment horizontal="left" vertical="center"/>
    </xf>
    <xf numFmtId="10" fontId="5" fillId="0" borderId="20" xfId="2" applyNumberFormat="1" applyFont="1" applyBorder="1" applyAlignment="1">
      <alignment horizontal="center" vertical="center"/>
    </xf>
    <xf numFmtId="10" fontId="5" fillId="0" borderId="21" xfId="2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Border="1"/>
    <xf numFmtId="43" fontId="0" fillId="0" borderId="0" xfId="11" applyFont="1" applyBorder="1"/>
    <xf numFmtId="0" fontId="0" fillId="0" borderId="0" xfId="0" quotePrefix="1" applyBorder="1"/>
    <xf numFmtId="0" fontId="1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4" fontId="0" fillId="0" borderId="4" xfId="1" applyFont="1" applyBorder="1"/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2" borderId="2" xfId="3" applyFont="1" applyBorder="1" applyAlignment="1">
      <alignment horizontal="left" vertical="center"/>
    </xf>
    <xf numFmtId="0" fontId="5" fillId="2" borderId="3" xfId="3" applyFont="1" applyBorder="1" applyAlignment="1">
      <alignment horizontal="left" vertical="center"/>
    </xf>
    <xf numFmtId="0" fontId="5" fillId="4" borderId="6" xfId="9" applyFont="1" applyBorder="1" applyAlignment="1">
      <alignment horizontal="left" vertical="center"/>
    </xf>
    <xf numFmtId="0" fontId="5" fillId="4" borderId="7" xfId="9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0" fontId="6" fillId="2" borderId="5" xfId="3" applyFont="1" applyBorder="1" applyAlignment="1">
      <alignment horizontal="center" vertical="center"/>
    </xf>
    <xf numFmtId="0" fontId="5" fillId="2" borderId="5" xfId="3" applyFont="1" applyBorder="1"/>
    <xf numFmtId="0" fontId="5" fillId="2" borderId="5" xfId="3" applyFont="1" applyBorder="1" applyAlignment="1">
      <alignment horizontal="center" vertical="center" wrapText="1"/>
    </xf>
    <xf numFmtId="10" fontId="6" fillId="2" borderId="5" xfId="3" applyNumberFormat="1" applyFont="1" applyBorder="1" applyAlignment="1">
      <alignment horizontal="center" vertical="center"/>
    </xf>
    <xf numFmtId="10" fontId="5" fillId="2" borderId="5" xfId="3" applyNumberFormat="1" applyFont="1" applyBorder="1" applyAlignment="1">
      <alignment horizontal="center" vertical="center"/>
    </xf>
    <xf numFmtId="0" fontId="11" fillId="4" borderId="5" xfId="9" applyFont="1" applyBorder="1" applyAlignment="1">
      <alignment horizontal="center" vertical="center"/>
    </xf>
    <xf numFmtId="0" fontId="10" fillId="3" borderId="5" xfId="4" applyFont="1" applyBorder="1" applyAlignment="1">
      <alignment horizontal="center" vertical="center"/>
    </xf>
    <xf numFmtId="0" fontId="5" fillId="4" borderId="14" xfId="9" applyFont="1" applyBorder="1" applyAlignment="1">
      <alignment horizontal="center" vertical="center"/>
    </xf>
    <xf numFmtId="0" fontId="5" fillId="4" borderId="15" xfId="9" applyFont="1" applyBorder="1" applyAlignment="1">
      <alignment horizontal="center" vertical="center"/>
    </xf>
    <xf numFmtId="0" fontId="5" fillId="4" borderId="16" xfId="9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5" fillId="0" borderId="5" xfId="0" applyFont="1" applyBorder="1" applyAlignment="1">
      <alignment horizontal="right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4" borderId="24" xfId="9" applyFont="1" applyBorder="1" applyAlignment="1">
      <alignment horizontal="center" vertical="center"/>
    </xf>
    <xf numFmtId="0" fontId="5" fillId="4" borderId="25" xfId="9" applyFont="1" applyBorder="1" applyAlignment="1">
      <alignment horizontal="center" vertical="center"/>
    </xf>
    <xf numFmtId="0" fontId="5" fillId="4" borderId="26" xfId="9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 wrapText="1"/>
    </xf>
    <xf numFmtId="0" fontId="13" fillId="3" borderId="0" xfId="4" applyFont="1" applyAlignment="1">
      <alignment horizontal="center"/>
    </xf>
    <xf numFmtId="0" fontId="15" fillId="5" borderId="7" xfId="1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13" fillId="3" borderId="0" xfId="4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0" fillId="3" borderId="0" xfId="4" applyFont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0" fillId="0" borderId="5" xfId="0" applyNumberForma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2" fontId="0" fillId="0" borderId="0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2">
    <cellStyle name="20% - Ênfase3" xfId="10" builtinId="38"/>
    <cellStyle name="60% - Ênfase3" xfId="9" builtinId="40"/>
    <cellStyle name="Ênfase3" xfId="4" builtinId="37"/>
    <cellStyle name="Moeda" xfId="1" builtinId="4"/>
    <cellStyle name="Moeda 2" xfId="7"/>
    <cellStyle name="Normal" xfId="0" builtinId="0"/>
    <cellStyle name="Normal 2" xfId="5"/>
    <cellStyle name="Normal 3" xfId="6"/>
    <cellStyle name="Porcentagem" xfId="2" builtinId="5"/>
    <cellStyle name="Porcentagem 2" xfId="8"/>
    <cellStyle name="Saída" xfId="3" builtinId="21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0"/>
  <sheetViews>
    <sheetView view="pageBreakPreview" topLeftCell="A124" zoomScale="90" zoomScaleNormal="100" zoomScaleSheetLayoutView="90" workbookViewId="0">
      <selection activeCell="O146" sqref="O146"/>
    </sheetView>
  </sheetViews>
  <sheetFormatPr defaultRowHeight="15" x14ac:dyDescent="0.25"/>
  <cols>
    <col min="1" max="1" width="5.7109375" customWidth="1"/>
    <col min="3" max="3" width="14.28515625" customWidth="1"/>
    <col min="4" max="4" width="10.28515625" customWidth="1"/>
    <col min="5" max="5" width="79.28515625" customWidth="1"/>
    <col min="6" max="6" width="16.28515625" customWidth="1"/>
    <col min="7" max="7" width="11.5703125" customWidth="1"/>
    <col min="8" max="8" width="16.85546875" customWidth="1"/>
    <col min="9" max="9" width="17.42578125" customWidth="1"/>
    <col min="10" max="10" width="15.5703125" customWidth="1"/>
    <col min="11" max="11" width="16.140625" customWidth="1"/>
    <col min="12" max="12" width="24.42578125" customWidth="1"/>
    <col min="13" max="13" width="11.7109375" customWidth="1"/>
    <col min="14" max="14" width="13.28515625" customWidth="1"/>
    <col min="15" max="15" width="14.5703125" bestFit="1" customWidth="1"/>
    <col min="16" max="16" width="13.85546875" bestFit="1" customWidth="1"/>
    <col min="17" max="17" width="22.42578125" customWidth="1"/>
    <col min="18" max="19" width="17" bestFit="1" customWidth="1"/>
    <col min="21" max="21" width="13" bestFit="1" customWidth="1"/>
    <col min="22" max="22" width="15.28515625" bestFit="1" customWidth="1"/>
  </cols>
  <sheetData>
    <row r="1" spans="1:19" ht="59.25" customHeight="1" x14ac:dyDescent="0.25">
      <c r="B1" s="114" t="s">
        <v>56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9" ht="14.45" customHeight="1" x14ac:dyDescent="0.25">
      <c r="B2" s="108" t="s">
        <v>67</v>
      </c>
      <c r="C2" s="108"/>
      <c r="D2" s="108"/>
      <c r="E2" s="74" t="s">
        <v>66</v>
      </c>
      <c r="F2" s="111" t="s">
        <v>277</v>
      </c>
      <c r="G2" s="111"/>
      <c r="H2" s="111"/>
      <c r="I2" s="111"/>
      <c r="J2" s="111"/>
      <c r="K2" s="111"/>
      <c r="L2" s="108" t="s">
        <v>105</v>
      </c>
      <c r="M2" s="108"/>
      <c r="N2" s="4"/>
    </row>
    <row r="3" spans="1:19" ht="30" x14ac:dyDescent="0.25">
      <c r="B3" s="109" t="s">
        <v>275</v>
      </c>
      <c r="C3" s="109"/>
      <c r="D3" s="109"/>
      <c r="E3" s="85" t="s">
        <v>276</v>
      </c>
      <c r="F3" s="111"/>
      <c r="G3" s="111"/>
      <c r="H3" s="111"/>
      <c r="I3" s="111"/>
      <c r="J3" s="111"/>
      <c r="K3" s="111"/>
      <c r="L3" s="108"/>
      <c r="M3" s="108"/>
    </row>
    <row r="4" spans="1:19" ht="44.25" customHeight="1" x14ac:dyDescent="0.25">
      <c r="B4" s="108" t="s">
        <v>0</v>
      </c>
      <c r="C4" s="108"/>
      <c r="D4" s="108"/>
      <c r="E4" s="110"/>
      <c r="F4" s="108" t="s">
        <v>1</v>
      </c>
      <c r="G4" s="108"/>
      <c r="H4" s="108"/>
      <c r="I4" s="108"/>
      <c r="J4" s="111" t="s">
        <v>106</v>
      </c>
      <c r="K4" s="111"/>
      <c r="L4" s="113" t="s">
        <v>32</v>
      </c>
      <c r="M4" s="113"/>
      <c r="N4" s="4"/>
    </row>
    <row r="5" spans="1:19" ht="19.5" customHeight="1" x14ac:dyDescent="0.25">
      <c r="B5" s="108"/>
      <c r="C5" s="108"/>
      <c r="D5" s="108"/>
      <c r="E5" s="110"/>
      <c r="F5" s="108" t="s">
        <v>2</v>
      </c>
      <c r="G5" s="108" t="s">
        <v>3</v>
      </c>
      <c r="H5" s="111" t="s">
        <v>4</v>
      </c>
      <c r="I5" s="111"/>
      <c r="J5" s="111" t="s">
        <v>5</v>
      </c>
      <c r="K5" s="111"/>
      <c r="L5" s="112">
        <v>0.24229999999999999</v>
      </c>
      <c r="M5" s="112"/>
    </row>
    <row r="6" spans="1:19" ht="37.5" customHeight="1" x14ac:dyDescent="0.25">
      <c r="B6" s="74" t="s">
        <v>6</v>
      </c>
      <c r="C6" s="74" t="s">
        <v>7</v>
      </c>
      <c r="D6" s="74" t="s">
        <v>8</v>
      </c>
      <c r="E6" s="74" t="s">
        <v>9</v>
      </c>
      <c r="F6" s="108"/>
      <c r="G6" s="108"/>
      <c r="H6" s="83" t="s">
        <v>78</v>
      </c>
      <c r="I6" s="83" t="s">
        <v>11</v>
      </c>
      <c r="J6" s="83" t="s">
        <v>78</v>
      </c>
      <c r="K6" s="83" t="s">
        <v>11</v>
      </c>
      <c r="L6" s="83" t="s">
        <v>5</v>
      </c>
      <c r="M6" s="111" t="s">
        <v>324</v>
      </c>
      <c r="N6" s="4"/>
    </row>
    <row r="7" spans="1:19" ht="15.75" x14ac:dyDescent="0.25">
      <c r="B7" s="115" t="s">
        <v>12</v>
      </c>
      <c r="C7" s="115"/>
      <c r="D7" s="115"/>
      <c r="E7" s="115"/>
      <c r="F7" s="115"/>
      <c r="G7" s="115"/>
      <c r="H7" s="115"/>
      <c r="I7" s="115"/>
      <c r="J7" s="115"/>
      <c r="K7" s="115"/>
      <c r="L7" s="86">
        <f>ROUND(L8+L12+L21+L27+L46+L75+L125+L128+L135,2)</f>
        <v>1195288.9099999999</v>
      </c>
      <c r="M7" s="111"/>
    </row>
    <row r="8" spans="1:19" x14ac:dyDescent="0.25">
      <c r="B8" s="104">
        <v>1</v>
      </c>
      <c r="C8" s="105"/>
      <c r="D8" s="105"/>
      <c r="E8" s="105" t="s">
        <v>109</v>
      </c>
      <c r="F8" s="105"/>
      <c r="G8" s="105"/>
      <c r="H8" s="105"/>
      <c r="I8" s="105"/>
      <c r="J8" s="34"/>
      <c r="K8" s="34"/>
      <c r="L8" s="31">
        <f>ROUND(L9,2)</f>
        <v>72617.75</v>
      </c>
      <c r="M8" s="84">
        <f>L8/L143</f>
        <v>6.0753303567419543E-2</v>
      </c>
      <c r="S8" s="4"/>
    </row>
    <row r="9" spans="1:19" x14ac:dyDescent="0.25">
      <c r="B9" s="102" t="s">
        <v>14</v>
      </c>
      <c r="C9" s="103"/>
      <c r="D9" s="103"/>
      <c r="E9" s="103" t="s">
        <v>107</v>
      </c>
      <c r="F9" s="103"/>
      <c r="G9" s="103"/>
      <c r="H9" s="103"/>
      <c r="I9" s="103"/>
      <c r="J9" s="1"/>
      <c r="K9" s="1"/>
      <c r="L9" s="2">
        <f>ROUND(SUM(L10:L11),2)</f>
        <v>72617.75</v>
      </c>
      <c r="M9" s="80">
        <f>M10+M11</f>
        <v>6.0753303567419543E-2</v>
      </c>
      <c r="N9" s="75" t="s">
        <v>10</v>
      </c>
      <c r="O9" s="18" t="s">
        <v>11</v>
      </c>
    </row>
    <row r="10" spans="1:19" x14ac:dyDescent="0.25">
      <c r="B10" s="3" t="s">
        <v>15</v>
      </c>
      <c r="C10" s="3" t="s">
        <v>20</v>
      </c>
      <c r="D10" s="3">
        <v>1</v>
      </c>
      <c r="E10" s="36" t="s">
        <v>108</v>
      </c>
      <c r="F10" s="3">
        <v>1</v>
      </c>
      <c r="G10" s="3" t="s">
        <v>3</v>
      </c>
      <c r="H10" s="17">
        <f>ROUND(N10*(1+L$5),2)</f>
        <v>0</v>
      </c>
      <c r="I10" s="17">
        <f>ROUND(O10*(1+L$5),2)</f>
        <v>71480</v>
      </c>
      <c r="J10" s="17">
        <f>ROUND(H10*F10,2)</f>
        <v>0</v>
      </c>
      <c r="K10" s="17">
        <f>ROUND(F10*I10,2)</f>
        <v>71480</v>
      </c>
      <c r="L10" s="17">
        <f>ROUND(J10+K10,2)</f>
        <v>71480</v>
      </c>
      <c r="M10" s="78">
        <f>L10/L$143</f>
        <v>5.980144164476521E-2</v>
      </c>
      <c r="N10" s="76"/>
      <c r="O10" s="17">
        <v>57538.44</v>
      </c>
      <c r="S10" s="19"/>
    </row>
    <row r="11" spans="1:19" x14ac:dyDescent="0.25">
      <c r="A11" s="5"/>
      <c r="B11" s="3" t="s">
        <v>17</v>
      </c>
      <c r="C11" s="3" t="s">
        <v>20</v>
      </c>
      <c r="D11" s="3">
        <v>2</v>
      </c>
      <c r="E11" s="54" t="s">
        <v>110</v>
      </c>
      <c r="F11" s="3">
        <v>1</v>
      </c>
      <c r="G11" s="3" t="s">
        <v>3</v>
      </c>
      <c r="H11" s="17">
        <f>ROUND(N11*(1+L$5),2)</f>
        <v>1137.75</v>
      </c>
      <c r="I11" s="17">
        <f>ROUND(O11*(1+L$5),2)</f>
        <v>0</v>
      </c>
      <c r="J11" s="17">
        <f>ROUND(H11*F11,2)</f>
        <v>1137.75</v>
      </c>
      <c r="K11" s="17">
        <f>ROUND(F11*I11,2)</f>
        <v>0</v>
      </c>
      <c r="L11" s="17">
        <f>ROUND(J11+K11,2)</f>
        <v>1137.75</v>
      </c>
      <c r="M11" s="78">
        <f>L11/L$143</f>
        <v>9.5186192265433154E-4</v>
      </c>
      <c r="N11" s="76">
        <v>915.84</v>
      </c>
      <c r="O11" s="17"/>
      <c r="S11" s="4"/>
    </row>
    <row r="12" spans="1:19" x14ac:dyDescent="0.25">
      <c r="A12" s="5"/>
      <c r="B12" s="104">
        <v>2</v>
      </c>
      <c r="C12" s="105"/>
      <c r="D12" s="105"/>
      <c r="E12" s="105" t="s">
        <v>13</v>
      </c>
      <c r="F12" s="105"/>
      <c r="G12" s="105"/>
      <c r="H12" s="105"/>
      <c r="I12" s="105"/>
      <c r="J12" s="30"/>
      <c r="K12" s="30"/>
      <c r="L12" s="31">
        <f>ROUND(L13+L16,2)</f>
        <v>9291.24</v>
      </c>
      <c r="M12" s="84">
        <f>L12/L143</f>
        <v>7.7732169371503681E-3</v>
      </c>
      <c r="N12" s="76"/>
      <c r="O12" s="3"/>
    </row>
    <row r="13" spans="1:19" x14ac:dyDescent="0.25">
      <c r="A13" s="5"/>
      <c r="B13" s="102" t="s">
        <v>24</v>
      </c>
      <c r="C13" s="103"/>
      <c r="D13" s="103"/>
      <c r="E13" s="103" t="s">
        <v>54</v>
      </c>
      <c r="F13" s="103"/>
      <c r="G13" s="103"/>
      <c r="H13" s="103"/>
      <c r="I13" s="103"/>
      <c r="J13" s="1"/>
      <c r="K13" s="1"/>
      <c r="L13" s="2">
        <f>ROUND(SUM(L14:L15),2)</f>
        <v>487.79</v>
      </c>
      <c r="M13" s="80">
        <f>SUM(M14:M15)</f>
        <v>4.0809380553861259E-4</v>
      </c>
      <c r="N13" s="76"/>
      <c r="O13" s="17"/>
    </row>
    <row r="14" spans="1:19" ht="30" x14ac:dyDescent="0.25">
      <c r="A14" s="5"/>
      <c r="B14" s="3" t="s">
        <v>25</v>
      </c>
      <c r="C14" s="3" t="s">
        <v>16</v>
      </c>
      <c r="D14" s="3">
        <v>1</v>
      </c>
      <c r="E14" s="24" t="s">
        <v>57</v>
      </c>
      <c r="F14" s="3">
        <v>1</v>
      </c>
      <c r="G14" s="3" t="s">
        <v>3</v>
      </c>
      <c r="H14" s="17">
        <f>ROUND(N14*(1+L$5),2)</f>
        <v>326.29000000000002</v>
      </c>
      <c r="I14" s="17">
        <f>ROUND(O14*(1+L$5),2)</f>
        <v>0</v>
      </c>
      <c r="J14" s="17">
        <f>ROUND(H14*F14,2)</f>
        <v>326.29000000000002</v>
      </c>
      <c r="K14" s="17">
        <f>ROUND(F14*I14,2)</f>
        <v>0</v>
      </c>
      <c r="L14" s="17">
        <f>ROUND(J14+K14,2)</f>
        <v>326.29000000000002</v>
      </c>
      <c r="M14" s="78">
        <f>L14/L$143</f>
        <v>2.7298002789969843E-4</v>
      </c>
      <c r="N14" s="76">
        <v>262.64999999999998</v>
      </c>
      <c r="O14" s="17"/>
      <c r="R14" s="19"/>
      <c r="S14" s="22"/>
    </row>
    <row r="15" spans="1:19" x14ac:dyDescent="0.25">
      <c r="A15" s="5"/>
      <c r="B15" s="3" t="s">
        <v>71</v>
      </c>
      <c r="C15" s="3" t="s">
        <v>18</v>
      </c>
      <c r="D15" s="3">
        <v>1</v>
      </c>
      <c r="E15" s="24" t="s">
        <v>55</v>
      </c>
      <c r="F15" s="3">
        <v>1</v>
      </c>
      <c r="G15" s="3" t="s">
        <v>3</v>
      </c>
      <c r="H15" s="17">
        <f>ROUND(N15*(1+L$5),2)</f>
        <v>161.5</v>
      </c>
      <c r="I15" s="17">
        <f>ROUND(O15*(1+L$5),2)</f>
        <v>0</v>
      </c>
      <c r="J15" s="17">
        <f>ROUND(H15*F15,2)</f>
        <v>161.5</v>
      </c>
      <c r="K15" s="17">
        <f>ROUND(F15*I15,2)</f>
        <v>0</v>
      </c>
      <c r="L15" s="17">
        <f>ROUND(J15+K15,2)</f>
        <v>161.5</v>
      </c>
      <c r="M15" s="78">
        <f>L15/L$143</f>
        <v>1.3511377763891414E-4</v>
      </c>
      <c r="N15" s="76">
        <v>130</v>
      </c>
      <c r="O15" s="17"/>
      <c r="S15" s="4"/>
    </row>
    <row r="16" spans="1:19" x14ac:dyDescent="0.25">
      <c r="B16" s="102" t="s">
        <v>30</v>
      </c>
      <c r="C16" s="103"/>
      <c r="D16" s="103"/>
      <c r="E16" s="103" t="s">
        <v>72</v>
      </c>
      <c r="F16" s="103"/>
      <c r="G16" s="103"/>
      <c r="H16" s="103"/>
      <c r="I16" s="103"/>
      <c r="J16" s="1"/>
      <c r="K16" s="1"/>
      <c r="L16" s="2">
        <f>ROUND(SUM(L17:L20),2)</f>
        <v>8803.4500000000007</v>
      </c>
      <c r="M16" s="80">
        <f>SUM(M17:M20)</f>
        <v>7.3651231316117557E-3</v>
      </c>
      <c r="N16" s="77"/>
      <c r="O16" s="3"/>
      <c r="Q16" s="73"/>
      <c r="S16" s="4"/>
    </row>
    <row r="17" spans="2:17" ht="42.75" customHeight="1" x14ac:dyDescent="0.25">
      <c r="B17" s="3" t="s">
        <v>120</v>
      </c>
      <c r="C17" s="3" t="s">
        <v>20</v>
      </c>
      <c r="D17" s="3">
        <v>3</v>
      </c>
      <c r="E17" s="24" t="s">
        <v>69</v>
      </c>
      <c r="F17" s="3">
        <v>1</v>
      </c>
      <c r="G17" s="3" t="s">
        <v>3</v>
      </c>
      <c r="H17" s="17">
        <f>ROUND(N17*(1+L$5),2)</f>
        <v>957.53</v>
      </c>
      <c r="I17" s="17">
        <f>ROUND(O17*(1+L$5),2)</f>
        <v>30.5</v>
      </c>
      <c r="J17" s="17">
        <f>ROUND(H17*F17,2)</f>
        <v>957.53</v>
      </c>
      <c r="K17" s="17">
        <f>ROUND(F17*I17,2)</f>
        <v>30.5</v>
      </c>
      <c r="L17" s="17">
        <f>ROUND(J17+K17,2)</f>
        <v>988.03</v>
      </c>
      <c r="M17" s="78">
        <f>L17/L$143</f>
        <v>8.2660350291378524E-4</v>
      </c>
      <c r="N17" s="76">
        <v>770.77</v>
      </c>
      <c r="O17" s="17">
        <v>24.55</v>
      </c>
    </row>
    <row r="18" spans="2:17" x14ac:dyDescent="0.25">
      <c r="B18" s="3" t="s">
        <v>121</v>
      </c>
      <c r="C18" s="3" t="s">
        <v>22</v>
      </c>
      <c r="D18" s="3">
        <v>99059</v>
      </c>
      <c r="E18" s="28" t="s">
        <v>73</v>
      </c>
      <c r="F18" s="3">
        <v>92</v>
      </c>
      <c r="G18" s="3" t="s">
        <v>89</v>
      </c>
      <c r="H18" s="17">
        <f>ROUND(N18*(1+L$5),2)</f>
        <v>32.18</v>
      </c>
      <c r="I18" s="17">
        <f>ROUND(O18*(1+L$5),2)</f>
        <v>37</v>
      </c>
      <c r="J18" s="17">
        <f>ROUND(H18*F18,2)</f>
        <v>2960.56</v>
      </c>
      <c r="K18" s="17">
        <f>ROUND(F18*I18,2)</f>
        <v>3404</v>
      </c>
      <c r="L18" s="17">
        <f>ROUND(J18+K18,2)</f>
        <v>6364.56</v>
      </c>
      <c r="M18" s="78">
        <f>L18/L$143</f>
        <v>5.3247043009877855E-3</v>
      </c>
      <c r="N18" s="76">
        <v>25.9</v>
      </c>
      <c r="O18" s="17">
        <v>29.78</v>
      </c>
    </row>
    <row r="19" spans="2:17" x14ac:dyDescent="0.25">
      <c r="B19" s="3" t="s">
        <v>122</v>
      </c>
      <c r="C19" s="3" t="s">
        <v>20</v>
      </c>
      <c r="D19" s="3">
        <v>4</v>
      </c>
      <c r="E19" s="36" t="s">
        <v>137</v>
      </c>
      <c r="F19" s="3">
        <v>1</v>
      </c>
      <c r="G19" s="3" t="s">
        <v>3</v>
      </c>
      <c r="H19" s="17">
        <f>ROUND(N19*(1+L$5),2)</f>
        <v>0</v>
      </c>
      <c r="I19" s="17">
        <f>ROUND(O19*(1+L$5),2)</f>
        <v>522.86</v>
      </c>
      <c r="J19" s="17">
        <f>ROUND(H19*F19,2)</f>
        <v>0</v>
      </c>
      <c r="K19" s="17">
        <f>ROUND(F19*I19,2)</f>
        <v>522.86</v>
      </c>
      <c r="L19" s="17">
        <f>ROUND(J19+K19,2)</f>
        <v>522.86</v>
      </c>
      <c r="M19" s="78">
        <f>L19/L$143</f>
        <v>4.3743399242280272E-4</v>
      </c>
      <c r="N19" s="76"/>
      <c r="O19" s="17">
        <v>420.88</v>
      </c>
    </row>
    <row r="20" spans="2:17" ht="30" x14ac:dyDescent="0.25">
      <c r="B20" s="3" t="s">
        <v>144</v>
      </c>
      <c r="C20" s="3" t="s">
        <v>20</v>
      </c>
      <c r="D20" s="3">
        <v>5</v>
      </c>
      <c r="E20" s="36" t="s">
        <v>145</v>
      </c>
      <c r="F20" s="3">
        <v>100</v>
      </c>
      <c r="G20" s="3" t="s">
        <v>89</v>
      </c>
      <c r="H20" s="17">
        <f>ROUND(N20*(1+L$5),2)</f>
        <v>6.5</v>
      </c>
      <c r="I20" s="17">
        <f>ROUND(O20*(1+L$5),2)</f>
        <v>2.78</v>
      </c>
      <c r="J20" s="17">
        <f>ROUND(H20*F20,2)</f>
        <v>650</v>
      </c>
      <c r="K20" s="17">
        <f>ROUND(F20*I20,2)</f>
        <v>278</v>
      </c>
      <c r="L20" s="17">
        <f>ROUND(J20+K20,2)</f>
        <v>928</v>
      </c>
      <c r="M20" s="78">
        <f>L20/L$143</f>
        <v>7.7638133528738274E-4</v>
      </c>
      <c r="N20" s="76">
        <v>5.23</v>
      </c>
      <c r="O20" s="17">
        <v>2.2400000000000002</v>
      </c>
    </row>
    <row r="21" spans="2:17" x14ac:dyDescent="0.25">
      <c r="B21" s="104">
        <v>3</v>
      </c>
      <c r="C21" s="105"/>
      <c r="D21" s="105"/>
      <c r="E21" s="105" t="s">
        <v>123</v>
      </c>
      <c r="F21" s="105"/>
      <c r="G21" s="105"/>
      <c r="H21" s="105"/>
      <c r="I21" s="105"/>
      <c r="J21" s="34"/>
      <c r="K21" s="34"/>
      <c r="L21" s="31">
        <f>ROUND(L22,2)</f>
        <v>77607.38</v>
      </c>
      <c r="M21" s="79">
        <f>L21/L143</f>
        <v>6.4927716931632892E-2</v>
      </c>
      <c r="N21" s="20"/>
      <c r="O21" s="20"/>
    </row>
    <row r="22" spans="2:17" x14ac:dyDescent="0.25">
      <c r="B22" s="102" t="s">
        <v>26</v>
      </c>
      <c r="C22" s="103"/>
      <c r="D22" s="103"/>
      <c r="E22" s="103" t="s">
        <v>269</v>
      </c>
      <c r="F22" s="103"/>
      <c r="G22" s="103"/>
      <c r="H22" s="103"/>
      <c r="I22" s="103"/>
      <c r="J22" s="1"/>
      <c r="K22" s="1"/>
      <c r="L22" s="2">
        <f>ROUND(SUM(L23:L26),2)</f>
        <v>77607.38</v>
      </c>
      <c r="M22" s="80">
        <f>SUM(M23:M26)</f>
        <v>6.4927716931632892E-2</v>
      </c>
      <c r="N22" s="20"/>
      <c r="O22" s="20"/>
      <c r="Q22" s="73"/>
    </row>
    <row r="23" spans="2:17" ht="30" x14ac:dyDescent="0.25">
      <c r="B23" s="3" t="s">
        <v>27</v>
      </c>
      <c r="C23" s="3" t="s">
        <v>45</v>
      </c>
      <c r="D23" s="3">
        <v>10775</v>
      </c>
      <c r="E23" s="36" t="s">
        <v>126</v>
      </c>
      <c r="F23" s="3">
        <v>4</v>
      </c>
      <c r="G23" s="3" t="s">
        <v>114</v>
      </c>
      <c r="H23" s="17">
        <f>ROUND(N23*(1+L$5),2)</f>
        <v>1207.52</v>
      </c>
      <c r="I23" s="17">
        <f>ROUND(O23*(1+L$5),2)</f>
        <v>0</v>
      </c>
      <c r="J23" s="17">
        <f>ROUND(H23*F23,2)</f>
        <v>4830.08</v>
      </c>
      <c r="K23" s="17">
        <f>ROUND(F23*I23,2)</f>
        <v>0</v>
      </c>
      <c r="L23" s="17">
        <f>ROUND(J23+K23,2)</f>
        <v>4830.08</v>
      </c>
      <c r="M23" s="78">
        <f>L23/L$143</f>
        <v>4.0409309913199158E-3</v>
      </c>
      <c r="N23" s="76">
        <v>972</v>
      </c>
      <c r="O23" s="17"/>
    </row>
    <row r="24" spans="2:17" ht="30" x14ac:dyDescent="0.25">
      <c r="B24" s="3" t="s">
        <v>31</v>
      </c>
      <c r="C24" s="3" t="s">
        <v>20</v>
      </c>
      <c r="D24" s="3">
        <v>6</v>
      </c>
      <c r="E24" s="36" t="s">
        <v>127</v>
      </c>
      <c r="F24" s="3">
        <v>6</v>
      </c>
      <c r="G24" s="3" t="s">
        <v>81</v>
      </c>
      <c r="H24" s="17">
        <f>ROUND(N24*(1+L$5),2)</f>
        <v>377.78</v>
      </c>
      <c r="I24" s="17">
        <f>ROUND(O24*(1+L$5),2)</f>
        <v>70.97</v>
      </c>
      <c r="J24" s="17">
        <f>ROUND(H24*F24,2)</f>
        <v>2266.6799999999998</v>
      </c>
      <c r="K24" s="17">
        <f>ROUND(F24*I24,2)</f>
        <v>425.82</v>
      </c>
      <c r="L24" s="17">
        <f>ROUND(J24+K24,2)</f>
        <v>2692.5</v>
      </c>
      <c r="M24" s="78">
        <f>L24/L$143</f>
        <v>2.2525934754970669E-3</v>
      </c>
      <c r="N24" s="76">
        <v>304.10000000000002</v>
      </c>
      <c r="O24" s="17">
        <v>57.13</v>
      </c>
    </row>
    <row r="25" spans="2:17" ht="30" x14ac:dyDescent="0.25">
      <c r="B25" s="3" t="s">
        <v>348</v>
      </c>
      <c r="C25" s="3" t="s">
        <v>20</v>
      </c>
      <c r="D25" s="3">
        <v>7</v>
      </c>
      <c r="E25" s="37" t="s">
        <v>142</v>
      </c>
      <c r="F25" s="3">
        <f>120*4</f>
        <v>480</v>
      </c>
      <c r="G25" s="3" t="s">
        <v>80</v>
      </c>
      <c r="H25" s="17">
        <f>ROUND(N25*(1+L$5),2)</f>
        <v>143.62</v>
      </c>
      <c r="I25" s="17">
        <f>ROUND(O25*(1+L$5),2)</f>
        <v>0</v>
      </c>
      <c r="J25" s="17">
        <f>ROUND(H25*F25,2)</f>
        <v>68937.600000000006</v>
      </c>
      <c r="K25" s="17">
        <f>ROUND(F25*I25,2)</f>
        <v>0</v>
      </c>
      <c r="L25" s="17">
        <f>ROUND(J25+K25,2)</f>
        <v>68937.600000000006</v>
      </c>
      <c r="M25" s="78">
        <f>L25/L$143</f>
        <v>5.767442450377961E-2</v>
      </c>
      <c r="N25" s="76">
        <v>115.61</v>
      </c>
      <c r="O25" s="17"/>
    </row>
    <row r="26" spans="2:17" ht="30" x14ac:dyDescent="0.25">
      <c r="B26" s="3" t="s">
        <v>349</v>
      </c>
      <c r="C26" s="3" t="s">
        <v>148</v>
      </c>
      <c r="D26" s="3">
        <v>5212556</v>
      </c>
      <c r="E26" s="36" t="s">
        <v>149</v>
      </c>
      <c r="F26" s="3">
        <f>4*120</f>
        <v>480</v>
      </c>
      <c r="G26" s="100" t="s">
        <v>371</v>
      </c>
      <c r="H26" s="17">
        <f>ROUND(N26*(1+L$5),2)</f>
        <v>2.39</v>
      </c>
      <c r="I26" s="17">
        <f>ROUND(O26*(1+L$5),2)</f>
        <v>0</v>
      </c>
      <c r="J26" s="17">
        <f>ROUND(H26*F26,2)</f>
        <v>1147.2</v>
      </c>
      <c r="K26" s="17">
        <f>ROUND(F26*I26,2)</f>
        <v>0</v>
      </c>
      <c r="L26" s="17">
        <f>ROUND(J26+K26,2)</f>
        <v>1147.2</v>
      </c>
      <c r="M26" s="78">
        <f>L26/L$143</f>
        <v>9.5976796103629909E-4</v>
      </c>
      <c r="N26" s="76">
        <v>1.92</v>
      </c>
      <c r="O26" s="17"/>
    </row>
    <row r="27" spans="2:17" x14ac:dyDescent="0.25">
      <c r="B27" s="104">
        <v>4</v>
      </c>
      <c r="C27" s="105"/>
      <c r="D27" s="105"/>
      <c r="E27" s="105" t="s">
        <v>75</v>
      </c>
      <c r="F27" s="105"/>
      <c r="G27" s="105"/>
      <c r="H27" s="105"/>
      <c r="I27" s="105"/>
      <c r="J27" s="30"/>
      <c r="K27" s="30"/>
      <c r="L27" s="31">
        <f>ROUND(L28+L34,2)</f>
        <v>147613.85999999999</v>
      </c>
      <c r="M27" s="79">
        <f>L27/L143</f>
        <v>0.12349638548892755</v>
      </c>
      <c r="N27" s="20"/>
      <c r="O27" s="20"/>
    </row>
    <row r="28" spans="2:17" x14ac:dyDescent="0.25">
      <c r="B28" s="102" t="s">
        <v>28</v>
      </c>
      <c r="C28" s="103"/>
      <c r="D28" s="103"/>
      <c r="E28" s="103" t="s">
        <v>329</v>
      </c>
      <c r="F28" s="103"/>
      <c r="G28" s="103"/>
      <c r="H28" s="103"/>
      <c r="I28" s="103"/>
      <c r="J28" s="1"/>
      <c r="K28" s="1"/>
      <c r="L28" s="2">
        <f>ROUND(SUM(L29:L33),2)</f>
        <v>10811.25</v>
      </c>
      <c r="M28" s="80">
        <f>SUM(M29:M33)</f>
        <v>9.0448843869889196E-3</v>
      </c>
      <c r="N28" s="20"/>
      <c r="O28" s="20"/>
    </row>
    <row r="29" spans="2:17" x14ac:dyDescent="0.25">
      <c r="B29" s="3" t="s">
        <v>29</v>
      </c>
      <c r="C29" s="3" t="s">
        <v>22</v>
      </c>
      <c r="D29" s="3">
        <v>104921</v>
      </c>
      <c r="E29" s="92" t="s">
        <v>326</v>
      </c>
      <c r="F29" s="3">
        <v>454.46</v>
      </c>
      <c r="G29" s="3" t="s">
        <v>79</v>
      </c>
      <c r="H29" s="17">
        <f t="shared" ref="H29" si="0">ROUND(N29*(1+L$5),2)</f>
        <v>10.78</v>
      </c>
      <c r="I29" s="17">
        <f t="shared" ref="I29" si="1">ROUND(O29*(1+L$5),2)</f>
        <v>1.74</v>
      </c>
      <c r="J29" s="17">
        <f t="shared" ref="J29" si="2">ROUND(H29*F29,2)</f>
        <v>4899.08</v>
      </c>
      <c r="K29" s="17">
        <f t="shared" ref="K29" si="3">ROUND(F29*I29,2)</f>
        <v>790.76</v>
      </c>
      <c r="L29" s="17">
        <f t="shared" ref="L29" si="4">ROUND(J29+K29,2)</f>
        <v>5689.84</v>
      </c>
      <c r="M29" s="78">
        <f>L29/L$143</f>
        <v>4.7602215266934938E-3</v>
      </c>
      <c r="N29" s="76">
        <v>8.68</v>
      </c>
      <c r="O29" s="17">
        <v>1.4</v>
      </c>
    </row>
    <row r="30" spans="2:17" x14ac:dyDescent="0.25">
      <c r="B30" s="3" t="s">
        <v>63</v>
      </c>
      <c r="C30" s="3" t="s">
        <v>327</v>
      </c>
      <c r="D30" s="3">
        <v>2407972</v>
      </c>
      <c r="E30" s="92" t="s">
        <v>328</v>
      </c>
      <c r="F30" s="3">
        <v>19</v>
      </c>
      <c r="G30" s="3" t="s">
        <v>79</v>
      </c>
      <c r="H30" s="17">
        <f t="shared" ref="H30:H31" si="5">ROUND(N30*(1+L$5),2)</f>
        <v>72.209999999999994</v>
      </c>
      <c r="I30" s="17">
        <f t="shared" ref="I30:I31" si="6">ROUND(O30*(1+L$5),2)</f>
        <v>11.58</v>
      </c>
      <c r="J30" s="17">
        <f t="shared" ref="J30:J31" si="7">ROUND(H30*F30,2)</f>
        <v>1371.99</v>
      </c>
      <c r="K30" s="17">
        <f t="shared" ref="K30:K31" si="8">ROUND(F30*I30,2)</f>
        <v>220.02</v>
      </c>
      <c r="L30" s="17">
        <f t="shared" ref="L30:L31" si="9">ROUND(J30+K30,2)</f>
        <v>1592.01</v>
      </c>
      <c r="M30" s="78">
        <f>L30/L$143</f>
        <v>1.3319039327487781E-3</v>
      </c>
      <c r="N30" s="76">
        <v>58.13</v>
      </c>
      <c r="O30" s="17">
        <v>9.32</v>
      </c>
    </row>
    <row r="31" spans="2:17" ht="30" x14ac:dyDescent="0.25">
      <c r="B31" s="3" t="s">
        <v>64</v>
      </c>
      <c r="C31" s="3" t="s">
        <v>22</v>
      </c>
      <c r="D31" s="3">
        <v>103223</v>
      </c>
      <c r="E31" s="92" t="s">
        <v>330</v>
      </c>
      <c r="F31" s="3">
        <v>80</v>
      </c>
      <c r="G31" s="3" t="s">
        <v>80</v>
      </c>
      <c r="H31" s="17">
        <f t="shared" si="5"/>
        <v>43.41</v>
      </c>
      <c r="I31" s="17">
        <f t="shared" si="6"/>
        <v>0</v>
      </c>
      <c r="J31" s="17">
        <f t="shared" si="7"/>
        <v>3472.8</v>
      </c>
      <c r="K31" s="17">
        <f t="shared" si="8"/>
        <v>0</v>
      </c>
      <c r="L31" s="17">
        <f t="shared" si="9"/>
        <v>3472.8</v>
      </c>
      <c r="M31" s="78">
        <f>L31/L$143</f>
        <v>2.9054063590366625E-3</v>
      </c>
      <c r="N31" s="76">
        <v>34.94</v>
      </c>
      <c r="O31" s="17"/>
    </row>
    <row r="32" spans="2:17" ht="30" x14ac:dyDescent="0.25">
      <c r="B32" s="3" t="s">
        <v>88</v>
      </c>
      <c r="C32" s="3" t="s">
        <v>22</v>
      </c>
      <c r="D32" s="3">
        <v>95878</v>
      </c>
      <c r="E32" s="92" t="s">
        <v>332</v>
      </c>
      <c r="F32" s="3">
        <v>13.5</v>
      </c>
      <c r="G32" s="3" t="s">
        <v>331</v>
      </c>
      <c r="H32" s="17">
        <f t="shared" ref="H32" si="10">ROUND(N32*(1+L$5),2)</f>
        <v>1.88</v>
      </c>
      <c r="I32" s="17">
        <f t="shared" ref="I32" si="11">ROUND(O32*(1+L$5),2)</f>
        <v>0.24</v>
      </c>
      <c r="J32" s="17">
        <f t="shared" ref="J32" si="12">ROUND(H32*F32,2)</f>
        <v>25.38</v>
      </c>
      <c r="K32" s="17">
        <f t="shared" ref="K32" si="13">ROUND(F32*I32,2)</f>
        <v>3.24</v>
      </c>
      <c r="L32" s="17">
        <f t="shared" ref="L32" si="14">ROUND(J32+K32,2)</f>
        <v>28.62</v>
      </c>
      <c r="M32" s="78">
        <f>L32/L$143</f>
        <v>2.394400195681562E-5</v>
      </c>
      <c r="N32" s="76">
        <v>1.51</v>
      </c>
      <c r="O32" s="17">
        <v>0.19</v>
      </c>
    </row>
    <row r="33" spans="2:18" ht="34.5" customHeight="1" x14ac:dyDescent="0.25">
      <c r="B33" s="3" t="s">
        <v>91</v>
      </c>
      <c r="C33" s="3" t="s">
        <v>22</v>
      </c>
      <c r="D33" s="3">
        <v>93596</v>
      </c>
      <c r="E33" s="92" t="s">
        <v>333</v>
      </c>
      <c r="F33" s="3">
        <v>33.299999999999997</v>
      </c>
      <c r="G33" s="3" t="s">
        <v>331</v>
      </c>
      <c r="H33" s="17">
        <f t="shared" ref="H33" si="15">ROUND(N33*(1+L$5),2)</f>
        <v>0.75</v>
      </c>
      <c r="I33" s="17">
        <f t="shared" ref="I33" si="16">ROUND(O33*(1+L$5),2)</f>
        <v>0.09</v>
      </c>
      <c r="J33" s="17">
        <f t="shared" ref="J33" si="17">ROUND(H33*F33,2)</f>
        <v>24.98</v>
      </c>
      <c r="K33" s="17">
        <f t="shared" ref="K33" si="18">ROUND(F33*I33,2)</f>
        <v>3</v>
      </c>
      <c r="L33" s="17">
        <f t="shared" ref="L33" si="19">ROUND(J33+K33,2)</f>
        <v>27.98</v>
      </c>
      <c r="M33" s="78">
        <f>L33/L$143</f>
        <v>2.3408566553169149E-5</v>
      </c>
      <c r="N33" s="76">
        <v>0.6</v>
      </c>
      <c r="O33" s="17">
        <v>7.0000000000000007E-2</v>
      </c>
      <c r="R33" s="55"/>
    </row>
    <row r="34" spans="2:18" x14ac:dyDescent="0.25">
      <c r="B34" s="102" t="s">
        <v>104</v>
      </c>
      <c r="C34" s="103"/>
      <c r="D34" s="103"/>
      <c r="E34" s="103" t="s">
        <v>76</v>
      </c>
      <c r="F34" s="103"/>
      <c r="G34" s="103"/>
      <c r="H34" s="103"/>
      <c r="I34" s="103"/>
      <c r="J34" s="1"/>
      <c r="K34" s="1"/>
      <c r="L34" s="2">
        <f>ROUND(SUM(L35:L45),2)</f>
        <v>136802.60999999999</v>
      </c>
      <c r="M34" s="80">
        <f>SUM(M35:M45)</f>
        <v>0.11445150110193864</v>
      </c>
      <c r="N34" s="20"/>
      <c r="O34" s="20"/>
    </row>
    <row r="35" spans="2:18" ht="30" x14ac:dyDescent="0.25">
      <c r="B35" s="3" t="s">
        <v>350</v>
      </c>
      <c r="C35" s="3" t="s">
        <v>22</v>
      </c>
      <c r="D35" s="3">
        <v>96523</v>
      </c>
      <c r="E35" s="98" t="s">
        <v>365</v>
      </c>
      <c r="F35" s="3">
        <v>57</v>
      </c>
      <c r="G35" s="3" t="s">
        <v>83</v>
      </c>
      <c r="H35" s="17">
        <f t="shared" ref="H35" si="20">ROUND(N35*(1+L$5),2)</f>
        <v>29.21</v>
      </c>
      <c r="I35" s="17">
        <f t="shared" ref="I35" si="21">ROUND(O35*(1+L$5),2)</f>
        <v>77.709999999999994</v>
      </c>
      <c r="J35" s="17">
        <f t="shared" ref="J35" si="22">ROUND(H35*F35,2)</f>
        <v>1664.97</v>
      </c>
      <c r="K35" s="17">
        <f t="shared" ref="K35" si="23">ROUND(F35*I35,2)</f>
        <v>4429.47</v>
      </c>
      <c r="L35" s="17">
        <f t="shared" ref="L35" si="24">ROUND(J35+K35,2)</f>
        <v>6094.44</v>
      </c>
      <c r="M35" s="78">
        <f t="shared" ref="M35:M45" si="25">L35/L$143</f>
        <v>5.0987170959362459E-3</v>
      </c>
      <c r="N35" s="76">
        <v>23.51</v>
      </c>
      <c r="O35" s="17">
        <v>62.55</v>
      </c>
    </row>
    <row r="36" spans="2:18" ht="30" x14ac:dyDescent="0.25">
      <c r="B36" s="3" t="s">
        <v>351</v>
      </c>
      <c r="C36" s="3" t="s">
        <v>22</v>
      </c>
      <c r="D36" s="3">
        <v>7047</v>
      </c>
      <c r="E36" s="36" t="s">
        <v>77</v>
      </c>
      <c r="F36" s="3">
        <v>100</v>
      </c>
      <c r="G36" s="3" t="s">
        <v>80</v>
      </c>
      <c r="H36" s="17">
        <f t="shared" ref="H36:H45" si="26">ROUND(N36*(1+L$5),2)</f>
        <v>29.04</v>
      </c>
      <c r="I36" s="17">
        <f t="shared" ref="I36:I45" si="27">ROUND(O36*(1+L$5),2)</f>
        <v>0</v>
      </c>
      <c r="J36" s="17">
        <f t="shared" ref="J36:J45" si="28">ROUND(H36*F36,2)</f>
        <v>2904</v>
      </c>
      <c r="K36" s="17">
        <f t="shared" ref="K36:K45" si="29">ROUND(F36*I36,2)</f>
        <v>0</v>
      </c>
      <c r="L36" s="17">
        <f t="shared" ref="L36:L45" si="30">ROUND(J36+K36,2)</f>
        <v>2904</v>
      </c>
      <c r="M36" s="78">
        <f t="shared" si="25"/>
        <v>2.4295381440458614E-3</v>
      </c>
      <c r="N36" s="76">
        <v>23.38</v>
      </c>
      <c r="O36" s="17"/>
    </row>
    <row r="37" spans="2:18" x14ac:dyDescent="0.25">
      <c r="B37" s="3" t="s">
        <v>352</v>
      </c>
      <c r="C37" s="3" t="s">
        <v>22</v>
      </c>
      <c r="D37" s="3">
        <v>88263</v>
      </c>
      <c r="E37" s="98" t="s">
        <v>367</v>
      </c>
      <c r="F37" s="3">
        <v>100</v>
      </c>
      <c r="G37" s="3" t="s">
        <v>80</v>
      </c>
      <c r="H37" s="17">
        <f t="shared" si="26"/>
        <v>5.79</v>
      </c>
      <c r="I37" s="17">
        <f t="shared" si="27"/>
        <v>19.84</v>
      </c>
      <c r="J37" s="17">
        <f t="shared" si="28"/>
        <v>579</v>
      </c>
      <c r="K37" s="17">
        <f t="shared" si="29"/>
        <v>1984</v>
      </c>
      <c r="L37" s="17">
        <f t="shared" si="30"/>
        <v>2563</v>
      </c>
      <c r="M37" s="78">
        <f t="shared" si="25"/>
        <v>2.1442514680404764E-3</v>
      </c>
      <c r="N37" s="76">
        <v>4.66</v>
      </c>
      <c r="O37" s="17">
        <v>15.97</v>
      </c>
    </row>
    <row r="38" spans="2:18" x14ac:dyDescent="0.25">
      <c r="B38" s="3" t="s">
        <v>353</v>
      </c>
      <c r="C38" s="3" t="s">
        <v>22</v>
      </c>
      <c r="D38" s="3">
        <v>96546</v>
      </c>
      <c r="E38" s="36" t="s">
        <v>150</v>
      </c>
      <c r="F38" s="3">
        <v>515.71</v>
      </c>
      <c r="G38" s="3" t="s">
        <v>79</v>
      </c>
      <c r="H38" s="17">
        <f t="shared" si="26"/>
        <v>14.17</v>
      </c>
      <c r="I38" s="17">
        <f t="shared" si="27"/>
        <v>5.63</v>
      </c>
      <c r="J38" s="17">
        <f t="shared" si="28"/>
        <v>7307.61</v>
      </c>
      <c r="K38" s="17">
        <f t="shared" si="29"/>
        <v>2903.45</v>
      </c>
      <c r="L38" s="17">
        <f t="shared" si="30"/>
        <v>10211.06</v>
      </c>
      <c r="M38" s="78">
        <f t="shared" si="25"/>
        <v>8.5427547386848941E-3</v>
      </c>
      <c r="N38" s="76">
        <v>11.41</v>
      </c>
      <c r="O38" s="17">
        <v>4.53</v>
      </c>
    </row>
    <row r="39" spans="2:18" x14ac:dyDescent="0.25">
      <c r="B39" s="3" t="s">
        <v>354</v>
      </c>
      <c r="C39" s="3" t="s">
        <v>22</v>
      </c>
      <c r="D39" s="3">
        <v>96546</v>
      </c>
      <c r="E39" s="36" t="s">
        <v>82</v>
      </c>
      <c r="F39" s="3">
        <v>176.95</v>
      </c>
      <c r="G39" s="3" t="s">
        <v>79</v>
      </c>
      <c r="H39" s="17">
        <f t="shared" si="26"/>
        <v>13.03</v>
      </c>
      <c r="I39" s="17">
        <f t="shared" si="27"/>
        <v>4.25</v>
      </c>
      <c r="J39" s="17">
        <f t="shared" si="28"/>
        <v>2305.66</v>
      </c>
      <c r="K39" s="17">
        <f t="shared" si="29"/>
        <v>752.04</v>
      </c>
      <c r="L39" s="17">
        <f t="shared" si="30"/>
        <v>3057.7</v>
      </c>
      <c r="M39" s="78">
        <f t="shared" si="25"/>
        <v>2.5581263027028341E-3</v>
      </c>
      <c r="N39" s="76">
        <v>10.49</v>
      </c>
      <c r="O39" s="17">
        <v>3.42</v>
      </c>
    </row>
    <row r="40" spans="2:18" x14ac:dyDescent="0.25">
      <c r="B40" s="3" t="s">
        <v>355</v>
      </c>
      <c r="C40" s="3" t="s">
        <v>22</v>
      </c>
      <c r="D40" s="3">
        <v>104921</v>
      </c>
      <c r="E40" s="36" t="s">
        <v>325</v>
      </c>
      <c r="F40" s="3">
        <v>4106.59</v>
      </c>
      <c r="G40" s="3" t="s">
        <v>79</v>
      </c>
      <c r="H40" s="17">
        <f t="shared" si="26"/>
        <v>10.78</v>
      </c>
      <c r="I40" s="17">
        <f t="shared" si="27"/>
        <v>1.74</v>
      </c>
      <c r="J40" s="17">
        <f t="shared" si="28"/>
        <v>44269.04</v>
      </c>
      <c r="K40" s="17">
        <f t="shared" si="29"/>
        <v>7145.47</v>
      </c>
      <c r="L40" s="17">
        <f t="shared" si="30"/>
        <v>51414.51</v>
      </c>
      <c r="M40" s="78">
        <f t="shared" si="25"/>
        <v>4.3014295179899242E-2</v>
      </c>
      <c r="N40" s="76">
        <v>8.68</v>
      </c>
      <c r="O40" s="17">
        <v>1.4</v>
      </c>
    </row>
    <row r="41" spans="2:18" ht="30" x14ac:dyDescent="0.25">
      <c r="B41" s="3" t="s">
        <v>356</v>
      </c>
      <c r="C41" s="3" t="s">
        <v>22</v>
      </c>
      <c r="D41" s="3">
        <v>96534</v>
      </c>
      <c r="E41" s="36" t="s">
        <v>84</v>
      </c>
      <c r="F41" s="3">
        <v>54.4</v>
      </c>
      <c r="G41" s="3" t="s">
        <v>81</v>
      </c>
      <c r="H41" s="17">
        <f t="shared" si="26"/>
        <v>39.24</v>
      </c>
      <c r="I41" s="17">
        <f t="shared" si="27"/>
        <v>50.15</v>
      </c>
      <c r="J41" s="17">
        <f t="shared" si="28"/>
        <v>2134.66</v>
      </c>
      <c r="K41" s="17">
        <f t="shared" si="29"/>
        <v>2728.16</v>
      </c>
      <c r="L41" s="17">
        <f t="shared" si="30"/>
        <v>4862.82</v>
      </c>
      <c r="M41" s="78">
        <f t="shared" si="25"/>
        <v>4.0683218586877049E-3</v>
      </c>
      <c r="N41" s="76">
        <v>31.59</v>
      </c>
      <c r="O41" s="17">
        <v>40.369999999999997</v>
      </c>
    </row>
    <row r="42" spans="2:18" ht="30" x14ac:dyDescent="0.25">
      <c r="B42" s="3" t="s">
        <v>357</v>
      </c>
      <c r="C42" s="3" t="s">
        <v>22</v>
      </c>
      <c r="D42" s="3">
        <v>96557</v>
      </c>
      <c r="E42" s="36" t="s">
        <v>151</v>
      </c>
      <c r="F42" s="3">
        <v>57</v>
      </c>
      <c r="G42" s="3" t="s">
        <v>83</v>
      </c>
      <c r="H42" s="17">
        <f t="shared" si="26"/>
        <v>851.65</v>
      </c>
      <c r="I42" s="17">
        <f t="shared" si="27"/>
        <v>19.14</v>
      </c>
      <c r="J42" s="17">
        <f t="shared" si="28"/>
        <v>48544.05</v>
      </c>
      <c r="K42" s="17">
        <f t="shared" si="29"/>
        <v>1090.98</v>
      </c>
      <c r="L42" s="17">
        <f t="shared" si="30"/>
        <v>49635.03</v>
      </c>
      <c r="M42" s="78">
        <f t="shared" si="25"/>
        <v>4.1525550504772954E-2</v>
      </c>
      <c r="N42" s="76">
        <v>685.54</v>
      </c>
      <c r="O42" s="17">
        <v>15.41</v>
      </c>
      <c r="R42" s="19"/>
    </row>
    <row r="43" spans="2:18" x14ac:dyDescent="0.25">
      <c r="B43" s="3" t="s">
        <v>358</v>
      </c>
      <c r="C43" s="3" t="s">
        <v>148</v>
      </c>
      <c r="D43" s="3">
        <v>5914569</v>
      </c>
      <c r="E43" s="36" t="s">
        <v>152</v>
      </c>
      <c r="F43" s="3">
        <f>((57*2400)/1000)*51.8</f>
        <v>7086.24</v>
      </c>
      <c r="G43" s="3" t="s">
        <v>153</v>
      </c>
      <c r="H43" s="17">
        <f t="shared" si="26"/>
        <v>0.77</v>
      </c>
      <c r="I43" s="17">
        <f t="shared" si="27"/>
        <v>0</v>
      </c>
      <c r="J43" s="17">
        <f t="shared" si="28"/>
        <v>5456.4</v>
      </c>
      <c r="K43" s="17">
        <f t="shared" si="29"/>
        <v>0</v>
      </c>
      <c r="L43" s="17">
        <f t="shared" si="30"/>
        <v>5456.4</v>
      </c>
      <c r="M43" s="78">
        <f t="shared" si="25"/>
        <v>4.5649214632134429E-3</v>
      </c>
      <c r="N43" s="76">
        <v>0.62</v>
      </c>
      <c r="O43" s="17"/>
    </row>
    <row r="44" spans="2:18" ht="30" x14ac:dyDescent="0.25">
      <c r="B44" s="3" t="s">
        <v>366</v>
      </c>
      <c r="C44" s="3" t="s">
        <v>22</v>
      </c>
      <c r="D44" s="3">
        <v>95878</v>
      </c>
      <c r="E44" s="92" t="s">
        <v>332</v>
      </c>
      <c r="F44" s="3">
        <v>144</v>
      </c>
      <c r="G44" s="3" t="s">
        <v>331</v>
      </c>
      <c r="H44" s="17">
        <f t="shared" si="26"/>
        <v>1.88</v>
      </c>
      <c r="I44" s="17">
        <f t="shared" si="27"/>
        <v>0.24</v>
      </c>
      <c r="J44" s="17">
        <f t="shared" si="28"/>
        <v>270.72000000000003</v>
      </c>
      <c r="K44" s="17">
        <f t="shared" si="29"/>
        <v>34.56</v>
      </c>
      <c r="L44" s="17">
        <f t="shared" si="30"/>
        <v>305.27999999999997</v>
      </c>
      <c r="M44" s="78">
        <f t="shared" si="25"/>
        <v>2.5540268753936659E-4</v>
      </c>
      <c r="N44" s="76">
        <v>1.51</v>
      </c>
      <c r="O44" s="17">
        <v>0.19</v>
      </c>
    </row>
    <row r="45" spans="2:18" ht="33.75" customHeight="1" x14ac:dyDescent="0.25">
      <c r="B45" s="3" t="s">
        <v>368</v>
      </c>
      <c r="C45" s="3" t="s">
        <v>22</v>
      </c>
      <c r="D45" s="3">
        <v>93596</v>
      </c>
      <c r="E45" s="92" t="s">
        <v>333</v>
      </c>
      <c r="F45" s="3">
        <v>355.2</v>
      </c>
      <c r="G45" s="3" t="s">
        <v>331</v>
      </c>
      <c r="H45" s="17">
        <f t="shared" si="26"/>
        <v>0.75</v>
      </c>
      <c r="I45" s="17">
        <f t="shared" si="27"/>
        <v>0.09</v>
      </c>
      <c r="J45" s="17">
        <f t="shared" si="28"/>
        <v>266.39999999999998</v>
      </c>
      <c r="K45" s="17">
        <f t="shared" si="29"/>
        <v>31.97</v>
      </c>
      <c r="L45" s="17">
        <f t="shared" si="30"/>
        <v>298.37</v>
      </c>
      <c r="M45" s="78">
        <f t="shared" si="25"/>
        <v>2.4962165841562112E-4</v>
      </c>
      <c r="N45" s="76">
        <v>0.6</v>
      </c>
      <c r="O45" s="17">
        <v>7.0000000000000007E-2</v>
      </c>
    </row>
    <row r="46" spans="2:18" x14ac:dyDescent="0.25">
      <c r="B46" s="104">
        <v>5</v>
      </c>
      <c r="C46" s="105"/>
      <c r="D46" s="105"/>
      <c r="E46" s="105" t="s">
        <v>85</v>
      </c>
      <c r="F46" s="105"/>
      <c r="G46" s="105"/>
      <c r="H46" s="105"/>
      <c r="I46" s="105"/>
      <c r="J46" s="34"/>
      <c r="K46" s="34"/>
      <c r="L46" s="31">
        <f>ROUND(L47+L66+L58,2)</f>
        <v>395124.06</v>
      </c>
      <c r="M46" s="79">
        <f>L46/L143</f>
        <v>0.33056782899458181</v>
      </c>
      <c r="N46" s="20"/>
      <c r="O46" s="20"/>
    </row>
    <row r="47" spans="2:18" x14ac:dyDescent="0.25">
      <c r="B47" s="102" t="s">
        <v>61</v>
      </c>
      <c r="C47" s="103"/>
      <c r="D47" s="103"/>
      <c r="E47" s="103" t="s">
        <v>86</v>
      </c>
      <c r="F47" s="103"/>
      <c r="G47" s="103"/>
      <c r="H47" s="103"/>
      <c r="I47" s="103"/>
      <c r="J47" s="1"/>
      <c r="K47" s="1"/>
      <c r="L47" s="2">
        <f>ROUND(SUM(L48:L57),2)</f>
        <v>298815.28999999998</v>
      </c>
      <c r="M47" s="80">
        <f>SUM(M48:M57)</f>
        <v>0.24999419596388633</v>
      </c>
      <c r="N47" s="20"/>
      <c r="O47" s="20"/>
    </row>
    <row r="48" spans="2:18" ht="45" x14ac:dyDescent="0.25">
      <c r="B48" s="3" t="s">
        <v>62</v>
      </c>
      <c r="C48" s="3" t="s">
        <v>22</v>
      </c>
      <c r="D48" s="3">
        <v>100341</v>
      </c>
      <c r="E48" s="36" t="s">
        <v>87</v>
      </c>
      <c r="F48" s="3">
        <v>462</v>
      </c>
      <c r="G48" s="3" t="s">
        <v>81</v>
      </c>
      <c r="H48" s="17">
        <f t="shared" ref="H48:H57" si="31">ROUND(N48*(1+L$5),2)</f>
        <v>34.770000000000003</v>
      </c>
      <c r="I48" s="17">
        <f t="shared" ref="I48:I57" si="32">ROUND(O48*(1+L$5),2)</f>
        <v>17.98</v>
      </c>
      <c r="J48" s="17">
        <f t="shared" ref="J48:J57" si="33">ROUND(H48*F48,2)</f>
        <v>16063.74</v>
      </c>
      <c r="K48" s="17">
        <f t="shared" ref="K48:K57" si="34">ROUND(F48*I48,2)</f>
        <v>8306.76</v>
      </c>
      <c r="L48" s="17">
        <f t="shared" ref="L48:L57" si="35">ROUND(J48+K48,2)</f>
        <v>24370.5</v>
      </c>
      <c r="M48" s="78">
        <f>L48/L$143</f>
        <v>2.0388794538384873E-2</v>
      </c>
      <c r="N48" s="76">
        <f>6.96+21.03</f>
        <v>27.990000000000002</v>
      </c>
      <c r="O48" s="17">
        <v>14.47</v>
      </c>
    </row>
    <row r="49" spans="2:17" x14ac:dyDescent="0.25">
      <c r="B49" s="3" t="s">
        <v>154</v>
      </c>
      <c r="C49" s="3" t="s">
        <v>22</v>
      </c>
      <c r="D49" s="3">
        <v>100343</v>
      </c>
      <c r="E49" s="36" t="s">
        <v>159</v>
      </c>
      <c r="F49" s="3">
        <v>2218.3200000000002</v>
      </c>
      <c r="G49" s="3" t="s">
        <v>79</v>
      </c>
      <c r="H49" s="17">
        <f t="shared" si="31"/>
        <v>13.35</v>
      </c>
      <c r="I49" s="17">
        <f t="shared" si="32"/>
        <v>2.82</v>
      </c>
      <c r="J49" s="17">
        <f t="shared" si="33"/>
        <v>29614.57</v>
      </c>
      <c r="K49" s="17">
        <f t="shared" si="34"/>
        <v>6255.66</v>
      </c>
      <c r="L49" s="17">
        <f t="shared" si="35"/>
        <v>35870.230000000003</v>
      </c>
      <c r="M49" s="78">
        <f t="shared" ref="M49:M74" si="36">L49/L$143</f>
        <v>3.0009673560846484E-2</v>
      </c>
      <c r="N49" s="76">
        <v>10.75</v>
      </c>
      <c r="O49" s="17">
        <v>2.27</v>
      </c>
      <c r="Q49" s="19"/>
    </row>
    <row r="50" spans="2:17" ht="30" x14ac:dyDescent="0.25">
      <c r="B50" s="3" t="s">
        <v>155</v>
      </c>
      <c r="C50" s="3" t="s">
        <v>22</v>
      </c>
      <c r="D50" s="3">
        <v>100344</v>
      </c>
      <c r="E50" s="36" t="s">
        <v>160</v>
      </c>
      <c r="F50" s="3">
        <v>2188.62</v>
      </c>
      <c r="G50" s="3" t="s">
        <v>79</v>
      </c>
      <c r="H50" s="17">
        <f t="shared" si="31"/>
        <v>12.4</v>
      </c>
      <c r="I50" s="17">
        <f t="shared" si="32"/>
        <v>2</v>
      </c>
      <c r="J50" s="17">
        <f t="shared" si="33"/>
        <v>27138.89</v>
      </c>
      <c r="K50" s="17">
        <f t="shared" si="34"/>
        <v>4377.24</v>
      </c>
      <c r="L50" s="17">
        <f t="shared" si="35"/>
        <v>31516.13</v>
      </c>
      <c r="M50" s="78">
        <f t="shared" si="36"/>
        <v>2.6366955918632265E-2</v>
      </c>
      <c r="N50" s="76">
        <v>9.98</v>
      </c>
      <c r="O50" s="17">
        <v>1.61</v>
      </c>
    </row>
    <row r="51" spans="2:17" ht="32.25" customHeight="1" x14ac:dyDescent="0.25">
      <c r="B51" s="3" t="s">
        <v>156</v>
      </c>
      <c r="C51" s="3" t="s">
        <v>22</v>
      </c>
      <c r="D51" s="3">
        <v>100345</v>
      </c>
      <c r="E51" s="36" t="s">
        <v>161</v>
      </c>
      <c r="F51" s="3">
        <v>2767.28</v>
      </c>
      <c r="G51" s="3" t="s">
        <v>79</v>
      </c>
      <c r="H51" s="17">
        <f t="shared" si="31"/>
        <v>10.71</v>
      </c>
      <c r="I51" s="17">
        <f t="shared" si="32"/>
        <v>1.42</v>
      </c>
      <c r="J51" s="17">
        <f t="shared" si="33"/>
        <v>29637.57</v>
      </c>
      <c r="K51" s="17">
        <f t="shared" si="34"/>
        <v>3929.54</v>
      </c>
      <c r="L51" s="17">
        <f t="shared" si="35"/>
        <v>33567.11</v>
      </c>
      <c r="M51" s="78">
        <f t="shared" si="36"/>
        <v>2.80828423313992E-2</v>
      </c>
      <c r="N51" s="76">
        <v>8.6199999999999992</v>
      </c>
      <c r="O51" s="17">
        <v>1.1399999999999999</v>
      </c>
    </row>
    <row r="52" spans="2:17" ht="30" x14ac:dyDescent="0.25">
      <c r="B52" s="3" t="s">
        <v>157</v>
      </c>
      <c r="C52" s="3" t="s">
        <v>22</v>
      </c>
      <c r="D52" s="3">
        <v>100346</v>
      </c>
      <c r="E52" s="36" t="s">
        <v>162</v>
      </c>
      <c r="F52" s="3">
        <v>3393.38</v>
      </c>
      <c r="G52" s="3" t="s">
        <v>79</v>
      </c>
      <c r="H52" s="17">
        <f t="shared" si="31"/>
        <v>10.53</v>
      </c>
      <c r="I52" s="17">
        <f t="shared" si="32"/>
        <v>0.92</v>
      </c>
      <c r="J52" s="17">
        <f t="shared" si="33"/>
        <v>35732.29</v>
      </c>
      <c r="K52" s="17">
        <f t="shared" si="34"/>
        <v>3121.91</v>
      </c>
      <c r="L52" s="17">
        <f t="shared" si="35"/>
        <v>38854.199999999997</v>
      </c>
      <c r="M52" s="78">
        <f t="shared" si="36"/>
        <v>3.2506116031813602E-2</v>
      </c>
      <c r="N52" s="76">
        <v>8.48</v>
      </c>
      <c r="O52" s="17">
        <v>0.74</v>
      </c>
    </row>
    <row r="53" spans="2:17" ht="30" x14ac:dyDescent="0.25">
      <c r="B53" s="3" t="s">
        <v>158</v>
      </c>
      <c r="C53" s="3" t="s">
        <v>22</v>
      </c>
      <c r="D53" s="3">
        <v>100349</v>
      </c>
      <c r="E53" s="36" t="s">
        <v>174</v>
      </c>
      <c r="F53" s="3">
        <v>128.65</v>
      </c>
      <c r="G53" s="3" t="s">
        <v>83</v>
      </c>
      <c r="H53" s="17">
        <f t="shared" si="31"/>
        <v>766.46</v>
      </c>
      <c r="I53" s="17">
        <f t="shared" si="32"/>
        <v>27.69</v>
      </c>
      <c r="J53" s="17">
        <f t="shared" si="33"/>
        <v>98605.08</v>
      </c>
      <c r="K53" s="17">
        <f t="shared" si="34"/>
        <v>3562.32</v>
      </c>
      <c r="L53" s="17">
        <f t="shared" si="35"/>
        <v>102167.4</v>
      </c>
      <c r="M53" s="78">
        <f t="shared" si="36"/>
        <v>8.5475067278922567E-2</v>
      </c>
      <c r="N53" s="76">
        <f>0.05+0.14+616.78</f>
        <v>616.97</v>
      </c>
      <c r="O53" s="17">
        <v>22.29</v>
      </c>
    </row>
    <row r="54" spans="2:17" x14ac:dyDescent="0.25">
      <c r="B54" s="3" t="s">
        <v>334</v>
      </c>
      <c r="C54" s="3" t="s">
        <v>148</v>
      </c>
      <c r="D54" s="3">
        <v>5914569</v>
      </c>
      <c r="E54" s="36" t="s">
        <v>152</v>
      </c>
      <c r="F54" s="3">
        <f>((128.65*2400)/1000)*51.8</f>
        <v>15993.767999999998</v>
      </c>
      <c r="G54" s="3" t="s">
        <v>153</v>
      </c>
      <c r="H54" s="17">
        <f t="shared" si="31"/>
        <v>0.77</v>
      </c>
      <c r="I54" s="17">
        <f t="shared" si="32"/>
        <v>0</v>
      </c>
      <c r="J54" s="17">
        <f t="shared" si="33"/>
        <v>12315.2</v>
      </c>
      <c r="K54" s="17">
        <f t="shared" si="34"/>
        <v>0</v>
      </c>
      <c r="L54" s="17">
        <f t="shared" si="35"/>
        <v>12315.2</v>
      </c>
      <c r="M54" s="78">
        <f t="shared" si="36"/>
        <v>1.0303115754667216E-2</v>
      </c>
      <c r="N54" s="76">
        <v>0.62</v>
      </c>
      <c r="O54" s="17"/>
    </row>
    <row r="55" spans="2:17" ht="45" x14ac:dyDescent="0.25">
      <c r="B55" s="3" t="s">
        <v>335</v>
      </c>
      <c r="C55" s="3" t="s">
        <v>20</v>
      </c>
      <c r="D55" s="3">
        <v>8</v>
      </c>
      <c r="E55" s="36" t="s">
        <v>94</v>
      </c>
      <c r="F55" s="3">
        <v>462</v>
      </c>
      <c r="G55" s="3" t="s">
        <v>81</v>
      </c>
      <c r="H55" s="17">
        <f t="shared" si="31"/>
        <v>28.55</v>
      </c>
      <c r="I55" s="17">
        <f t="shared" si="32"/>
        <v>12.2</v>
      </c>
      <c r="J55" s="17">
        <f t="shared" si="33"/>
        <v>13190.1</v>
      </c>
      <c r="K55" s="17">
        <f t="shared" si="34"/>
        <v>5636.4</v>
      </c>
      <c r="L55" s="17">
        <f t="shared" si="35"/>
        <v>18826.5</v>
      </c>
      <c r="M55" s="78">
        <f t="shared" si="36"/>
        <v>1.5750585354297318E-2</v>
      </c>
      <c r="N55" s="76">
        <v>22.98</v>
      </c>
      <c r="O55" s="17">
        <v>9.82</v>
      </c>
    </row>
    <row r="56" spans="2:17" ht="30" x14ac:dyDescent="0.25">
      <c r="B56" s="3" t="s">
        <v>359</v>
      </c>
      <c r="C56" s="3" t="s">
        <v>22</v>
      </c>
      <c r="D56" s="3">
        <v>95878</v>
      </c>
      <c r="E56" s="92" t="s">
        <v>332</v>
      </c>
      <c r="F56" s="3">
        <v>316.8</v>
      </c>
      <c r="G56" s="3" t="s">
        <v>331</v>
      </c>
      <c r="H56" s="17">
        <f t="shared" si="31"/>
        <v>1.88</v>
      </c>
      <c r="I56" s="17">
        <f t="shared" si="32"/>
        <v>0.24</v>
      </c>
      <c r="J56" s="17">
        <f t="shared" si="33"/>
        <v>595.58000000000004</v>
      </c>
      <c r="K56" s="17">
        <f t="shared" si="34"/>
        <v>76.03</v>
      </c>
      <c r="L56" s="17">
        <f t="shared" si="35"/>
        <v>671.61</v>
      </c>
      <c r="M56" s="78">
        <f t="shared" si="36"/>
        <v>5.6188089287969732E-4</v>
      </c>
      <c r="N56" s="76">
        <v>1.51</v>
      </c>
      <c r="O56" s="17">
        <v>0.19</v>
      </c>
    </row>
    <row r="57" spans="2:17" ht="45" x14ac:dyDescent="0.25">
      <c r="B57" s="3" t="s">
        <v>360</v>
      </c>
      <c r="C57" s="3" t="s">
        <v>22</v>
      </c>
      <c r="D57" s="3">
        <v>93596</v>
      </c>
      <c r="E57" s="92" t="s">
        <v>333</v>
      </c>
      <c r="F57" s="3">
        <v>781.44</v>
      </c>
      <c r="G57" s="3" t="s">
        <v>331</v>
      </c>
      <c r="H57" s="17">
        <f t="shared" si="31"/>
        <v>0.75</v>
      </c>
      <c r="I57" s="17">
        <f t="shared" si="32"/>
        <v>0.09</v>
      </c>
      <c r="J57" s="17">
        <f t="shared" si="33"/>
        <v>586.08000000000004</v>
      </c>
      <c r="K57" s="17">
        <f t="shared" si="34"/>
        <v>70.33</v>
      </c>
      <c r="L57" s="17">
        <f t="shared" si="35"/>
        <v>656.41</v>
      </c>
      <c r="M57" s="78">
        <f t="shared" si="36"/>
        <v>5.4916430204309365E-4</v>
      </c>
      <c r="N57" s="76">
        <v>0.6</v>
      </c>
      <c r="O57" s="17">
        <v>7.0000000000000007E-2</v>
      </c>
    </row>
    <row r="58" spans="2:17" x14ac:dyDescent="0.25">
      <c r="B58" s="102" t="s">
        <v>164</v>
      </c>
      <c r="C58" s="103"/>
      <c r="D58" s="103"/>
      <c r="E58" s="103" t="s">
        <v>176</v>
      </c>
      <c r="F58" s="103"/>
      <c r="G58" s="103"/>
      <c r="H58" s="103"/>
      <c r="I58" s="103"/>
      <c r="J58" s="1"/>
      <c r="K58" s="1"/>
      <c r="L58" s="2">
        <f>ROUND(SUM(L59:L65),2)</f>
        <v>8701.58</v>
      </c>
      <c r="M58" s="80">
        <f>SUM(M59:M65)</f>
        <v>7.2798968744719654E-3</v>
      </c>
      <c r="N58" s="20"/>
      <c r="O58" s="20"/>
    </row>
    <row r="59" spans="2:17" ht="45" x14ac:dyDescent="0.25">
      <c r="B59" s="3" t="s">
        <v>166</v>
      </c>
      <c r="C59" s="3" t="s">
        <v>22</v>
      </c>
      <c r="D59" s="3">
        <v>100341</v>
      </c>
      <c r="E59" s="36" t="s">
        <v>87</v>
      </c>
      <c r="F59" s="3">
        <f>2.42*4</f>
        <v>9.68</v>
      </c>
      <c r="G59" s="3" t="s">
        <v>81</v>
      </c>
      <c r="H59" s="17">
        <f>ROUND(N59*(1+L$5),2)</f>
        <v>34.770000000000003</v>
      </c>
      <c r="I59" s="17">
        <f>ROUND(O59*(1+L$5),2)</f>
        <v>17.98</v>
      </c>
      <c r="J59" s="17">
        <f>ROUND(H59*F59,2)</f>
        <v>336.57</v>
      </c>
      <c r="K59" s="17">
        <f>ROUND(F59*I59,2)</f>
        <v>174.05</v>
      </c>
      <c r="L59" s="17">
        <f>ROUND(J59+K59,2)</f>
        <v>510.62</v>
      </c>
      <c r="M59" s="78">
        <f t="shared" si="36"/>
        <v>4.2719379032806398E-4</v>
      </c>
      <c r="N59" s="76">
        <f>6.96+21.03</f>
        <v>27.990000000000002</v>
      </c>
      <c r="O59" s="17">
        <v>14.47</v>
      </c>
    </row>
    <row r="60" spans="2:17" ht="30" x14ac:dyDescent="0.25">
      <c r="B60" s="3" t="s">
        <v>167</v>
      </c>
      <c r="C60" s="3" t="s">
        <v>22</v>
      </c>
      <c r="D60" s="3">
        <v>100344</v>
      </c>
      <c r="E60" s="36" t="s">
        <v>160</v>
      </c>
      <c r="F60" s="3">
        <v>138.69999999999999</v>
      </c>
      <c r="G60" s="3" t="s">
        <v>79</v>
      </c>
      <c r="H60" s="17">
        <f>ROUND(N60*(1+L$5),2)</f>
        <v>12.4</v>
      </c>
      <c r="I60" s="17">
        <f>ROUND(O60*(1+L$5),2)</f>
        <v>2</v>
      </c>
      <c r="J60" s="17">
        <f>ROUND(H60*F60,2)</f>
        <v>1719.88</v>
      </c>
      <c r="K60" s="17">
        <f>ROUND(F60*I60,2)</f>
        <v>277.39999999999998</v>
      </c>
      <c r="L60" s="17">
        <f>ROUND(J60+K60,2)</f>
        <v>1997.28</v>
      </c>
      <c r="M60" s="78">
        <f t="shared" si="36"/>
        <v>1.6709600359297238E-3</v>
      </c>
      <c r="N60" s="76">
        <v>9.98</v>
      </c>
      <c r="O60" s="17">
        <v>1.61</v>
      </c>
    </row>
    <row r="61" spans="2:17" ht="30" x14ac:dyDescent="0.25">
      <c r="B61" s="3" t="s">
        <v>168</v>
      </c>
      <c r="C61" s="3" t="s">
        <v>22</v>
      </c>
      <c r="D61" s="3">
        <v>100345</v>
      </c>
      <c r="E61" s="36" t="s">
        <v>161</v>
      </c>
      <c r="F61" s="3">
        <v>152.53</v>
      </c>
      <c r="G61" s="3" t="s">
        <v>79</v>
      </c>
      <c r="H61" s="17">
        <f>ROUND(N61*(1+L$5),2)</f>
        <v>10.71</v>
      </c>
      <c r="I61" s="17">
        <f>ROUND(O61*(1+L$5),2)</f>
        <v>1.42</v>
      </c>
      <c r="J61" s="17">
        <f>ROUND(H61*F61,2)</f>
        <v>1633.6</v>
      </c>
      <c r="K61" s="17">
        <f>ROUND(F61*I61,2)</f>
        <v>216.59</v>
      </c>
      <c r="L61" s="17">
        <f>ROUND(J61+K61,2)</f>
        <v>1850.19</v>
      </c>
      <c r="M61" s="78">
        <f t="shared" si="36"/>
        <v>1.5479019210510375E-3</v>
      </c>
      <c r="N61" s="76">
        <v>8.6199999999999992</v>
      </c>
      <c r="O61" s="17">
        <v>1.1399999999999999</v>
      </c>
    </row>
    <row r="62" spans="2:17" ht="30" x14ac:dyDescent="0.25">
      <c r="B62" s="3" t="s">
        <v>171</v>
      </c>
      <c r="C62" s="3" t="s">
        <v>22</v>
      </c>
      <c r="D62" s="3">
        <v>100349</v>
      </c>
      <c r="E62" s="36" t="s">
        <v>174</v>
      </c>
      <c r="F62" s="3">
        <v>4.84</v>
      </c>
      <c r="G62" s="3" t="s">
        <v>83</v>
      </c>
      <c r="H62" s="17">
        <f>ROUND(N62*(1+L$5),2)</f>
        <v>766.46</v>
      </c>
      <c r="I62" s="17">
        <f>ROUND(O62*(1+L$5),2)</f>
        <v>27.69</v>
      </c>
      <c r="J62" s="17">
        <f>ROUND(H62*F62,2)</f>
        <v>3709.67</v>
      </c>
      <c r="K62" s="17">
        <f>ROUND(F62*I62,2)</f>
        <v>134.02000000000001</v>
      </c>
      <c r="L62" s="17">
        <f>ROUND(J62+K62,2)</f>
        <v>3843.69</v>
      </c>
      <c r="M62" s="78">
        <f t="shared" si="36"/>
        <v>3.2156995416279745E-3</v>
      </c>
      <c r="N62" s="76">
        <f>0.05+0.14+616.78</f>
        <v>616.97</v>
      </c>
      <c r="O62" s="17">
        <v>22.29</v>
      </c>
    </row>
    <row r="63" spans="2:17" x14ac:dyDescent="0.25">
      <c r="B63" s="3" t="s">
        <v>175</v>
      </c>
      <c r="C63" s="3" t="s">
        <v>148</v>
      </c>
      <c r="D63" s="3">
        <v>5914569</v>
      </c>
      <c r="E63" s="36" t="s">
        <v>152</v>
      </c>
      <c r="F63" s="3">
        <f>((4.84*2400)/1000)*51.8</f>
        <v>601.7088</v>
      </c>
      <c r="G63" s="3" t="s">
        <v>153</v>
      </c>
      <c r="H63" s="17">
        <f>ROUND(N63*(1+L$5),2)</f>
        <v>0.77</v>
      </c>
      <c r="I63" s="17">
        <f>ROUND(O63*(1+L$5),2)</f>
        <v>0</v>
      </c>
      <c r="J63" s="17">
        <f>ROUND(H63*F63,2)</f>
        <v>463.32</v>
      </c>
      <c r="K63" s="17">
        <f>ROUND(F63*I63,2)</f>
        <v>0</v>
      </c>
      <c r="L63" s="17">
        <f>ROUND(J63+K63,2)</f>
        <v>463.32</v>
      </c>
      <c r="M63" s="78">
        <f t="shared" si="36"/>
        <v>3.8762176752731698E-4</v>
      </c>
      <c r="N63" s="76">
        <v>0.62</v>
      </c>
      <c r="O63" s="17"/>
    </row>
    <row r="64" spans="2:17" ht="30" x14ac:dyDescent="0.25">
      <c r="B64" s="3" t="s">
        <v>336</v>
      </c>
      <c r="C64" s="3" t="s">
        <v>22</v>
      </c>
      <c r="D64" s="3">
        <v>95878</v>
      </c>
      <c r="E64" s="92" t="s">
        <v>332</v>
      </c>
      <c r="F64" s="3">
        <v>8.6999999999999993</v>
      </c>
      <c r="G64" s="3" t="s">
        <v>331</v>
      </c>
      <c r="H64" s="17">
        <f t="shared" ref="H64:H65" si="37">ROUND(N64*(1+L$5),2)</f>
        <v>1.88</v>
      </c>
      <c r="I64" s="17">
        <f t="shared" ref="I64:I65" si="38">ROUND(O64*(1+L$5),2)</f>
        <v>0.24</v>
      </c>
      <c r="J64" s="17">
        <f t="shared" ref="J64:J65" si="39">ROUND(H64*F64,2)</f>
        <v>16.36</v>
      </c>
      <c r="K64" s="17">
        <f t="shared" ref="K64:K65" si="40">ROUND(F64*I64,2)</f>
        <v>2.09</v>
      </c>
      <c r="L64" s="17">
        <f t="shared" ref="L64:L65" si="41">ROUND(J64+K64,2)</f>
        <v>18.45</v>
      </c>
      <c r="M64" s="78">
        <f t="shared" si="36"/>
        <v>1.5435598745745916E-5</v>
      </c>
      <c r="N64" s="76">
        <v>1.51</v>
      </c>
      <c r="O64" s="17">
        <v>0.19</v>
      </c>
    </row>
    <row r="65" spans="2:18" ht="45" x14ac:dyDescent="0.25">
      <c r="B65" s="3" t="s">
        <v>337</v>
      </c>
      <c r="C65" s="3" t="s">
        <v>22</v>
      </c>
      <c r="D65" s="3">
        <v>93596</v>
      </c>
      <c r="E65" s="92" t="s">
        <v>333</v>
      </c>
      <c r="F65" s="3">
        <v>21.46</v>
      </c>
      <c r="G65" s="3" t="s">
        <v>331</v>
      </c>
      <c r="H65" s="17">
        <f t="shared" si="37"/>
        <v>0.75</v>
      </c>
      <c r="I65" s="17">
        <f t="shared" si="38"/>
        <v>0.09</v>
      </c>
      <c r="J65" s="17">
        <f t="shared" si="39"/>
        <v>16.100000000000001</v>
      </c>
      <c r="K65" s="17">
        <f t="shared" si="40"/>
        <v>1.93</v>
      </c>
      <c r="L65" s="17">
        <f t="shared" si="41"/>
        <v>18.03</v>
      </c>
      <c r="M65" s="78">
        <f t="shared" si="36"/>
        <v>1.5084219262102921E-5</v>
      </c>
      <c r="N65" s="76">
        <v>0.6</v>
      </c>
      <c r="O65" s="17">
        <v>7.0000000000000007E-2</v>
      </c>
    </row>
    <row r="66" spans="2:18" x14ac:dyDescent="0.25">
      <c r="B66" s="102" t="s">
        <v>177</v>
      </c>
      <c r="C66" s="103"/>
      <c r="D66" s="103"/>
      <c r="E66" s="103" t="s">
        <v>165</v>
      </c>
      <c r="F66" s="103"/>
      <c r="G66" s="103"/>
      <c r="H66" s="103"/>
      <c r="I66" s="103"/>
      <c r="J66" s="1"/>
      <c r="K66" s="1"/>
      <c r="L66" s="2">
        <f>ROUND(SUM(L67:L74),2)</f>
        <v>87607.19</v>
      </c>
      <c r="M66" s="80">
        <f>SUM(M67:M74)</f>
        <v>7.3293736156223532E-2</v>
      </c>
      <c r="N66" s="20"/>
      <c r="O66" s="20"/>
    </row>
    <row r="67" spans="2:18" ht="45" x14ac:dyDescent="0.25">
      <c r="B67" s="3" t="s">
        <v>178</v>
      </c>
      <c r="C67" s="3" t="s">
        <v>22</v>
      </c>
      <c r="D67" s="3">
        <v>92445</v>
      </c>
      <c r="E67" s="36" t="s">
        <v>169</v>
      </c>
      <c r="F67" s="3">
        <v>98</v>
      </c>
      <c r="G67" s="3" t="s">
        <v>81</v>
      </c>
      <c r="H67" s="17">
        <f t="shared" ref="H67:H74" si="42">ROUND(N67*(1+L$5),2)</f>
        <v>48.66</v>
      </c>
      <c r="I67" s="17">
        <f t="shared" ref="I67:I74" si="43">ROUND(O67*(1+L$5),2)</f>
        <v>33.159999999999997</v>
      </c>
      <c r="J67" s="17">
        <f t="shared" ref="J67:J74" si="44">ROUND(H67*F67,2)</f>
        <v>4768.68</v>
      </c>
      <c r="K67" s="17">
        <f t="shared" ref="K67:K74" si="45">ROUND(F67*I67,2)</f>
        <v>3249.68</v>
      </c>
      <c r="L67" s="17">
        <f t="shared" ref="L67:L74" si="46">ROUND(J67+K67,2)</f>
        <v>8018.36</v>
      </c>
      <c r="M67" s="78">
        <f t="shared" si="36"/>
        <v>6.7083028487229931E-3</v>
      </c>
      <c r="N67" s="76">
        <f>17.42+21.75</f>
        <v>39.17</v>
      </c>
      <c r="O67" s="17">
        <v>26.69</v>
      </c>
    </row>
    <row r="68" spans="2:18" x14ac:dyDescent="0.25">
      <c r="B68" s="3" t="s">
        <v>179</v>
      </c>
      <c r="C68" s="3" t="s">
        <v>22</v>
      </c>
      <c r="D68" s="3">
        <v>92761</v>
      </c>
      <c r="E68" s="36" t="s">
        <v>170</v>
      </c>
      <c r="F68" s="3">
        <v>1277.5899999999999</v>
      </c>
      <c r="G68" s="3" t="s">
        <v>79</v>
      </c>
      <c r="H68" s="17">
        <f t="shared" si="42"/>
        <v>13.16</v>
      </c>
      <c r="I68" s="17">
        <f t="shared" si="43"/>
        <v>2.12</v>
      </c>
      <c r="J68" s="17">
        <f t="shared" si="44"/>
        <v>16813.080000000002</v>
      </c>
      <c r="K68" s="17">
        <f t="shared" si="45"/>
        <v>2708.49</v>
      </c>
      <c r="L68" s="17">
        <f t="shared" si="46"/>
        <v>19521.57</v>
      </c>
      <c r="M68" s="78">
        <f t="shared" si="36"/>
        <v>1.6332093301191931E-2</v>
      </c>
      <c r="N68" s="76">
        <v>10.59</v>
      </c>
      <c r="O68" s="17">
        <v>1.71</v>
      </c>
    </row>
    <row r="69" spans="2:18" x14ac:dyDescent="0.25">
      <c r="B69" s="3" t="s">
        <v>180</v>
      </c>
      <c r="C69" s="3" t="s">
        <v>22</v>
      </c>
      <c r="D69" s="3">
        <v>92762</v>
      </c>
      <c r="E69" s="36" t="s">
        <v>173</v>
      </c>
      <c r="F69" s="3">
        <v>395.64</v>
      </c>
      <c r="G69" s="3" t="s">
        <v>79</v>
      </c>
      <c r="H69" s="17">
        <f t="shared" si="42"/>
        <v>12.22</v>
      </c>
      <c r="I69" s="17">
        <f t="shared" si="43"/>
        <v>1.42</v>
      </c>
      <c r="J69" s="17">
        <f t="shared" si="44"/>
        <v>4834.72</v>
      </c>
      <c r="K69" s="17">
        <f t="shared" si="45"/>
        <v>561.80999999999995</v>
      </c>
      <c r="L69" s="17">
        <f t="shared" si="46"/>
        <v>5396.53</v>
      </c>
      <c r="M69" s="78">
        <f t="shared" si="36"/>
        <v>4.5148331544379522E-3</v>
      </c>
      <c r="N69" s="76">
        <v>9.84</v>
      </c>
      <c r="O69" s="17">
        <v>1.1399999999999999</v>
      </c>
    </row>
    <row r="70" spans="2:18" x14ac:dyDescent="0.25">
      <c r="B70" s="3" t="s">
        <v>181</v>
      </c>
      <c r="C70" s="3" t="s">
        <v>22</v>
      </c>
      <c r="D70" s="3">
        <v>92764</v>
      </c>
      <c r="E70" s="36" t="s">
        <v>172</v>
      </c>
      <c r="F70" s="3">
        <v>1381.82</v>
      </c>
      <c r="G70" s="3" t="s">
        <v>79</v>
      </c>
      <c r="H70" s="17">
        <f t="shared" si="42"/>
        <v>10.46</v>
      </c>
      <c r="I70" s="17">
        <f t="shared" si="43"/>
        <v>0.62</v>
      </c>
      <c r="J70" s="17">
        <f t="shared" si="44"/>
        <v>14453.84</v>
      </c>
      <c r="K70" s="17">
        <f t="shared" si="45"/>
        <v>856.73</v>
      </c>
      <c r="L70" s="17">
        <f t="shared" si="46"/>
        <v>15310.57</v>
      </c>
      <c r="M70" s="78">
        <f t="shared" si="36"/>
        <v>1.2809095668761792E-2</v>
      </c>
      <c r="N70" s="76">
        <v>8.42</v>
      </c>
      <c r="O70" s="17">
        <v>0.5</v>
      </c>
    </row>
    <row r="71" spans="2:18" ht="30" x14ac:dyDescent="0.25">
      <c r="B71" s="3" t="s">
        <v>182</v>
      </c>
      <c r="C71" s="3" t="s">
        <v>22</v>
      </c>
      <c r="D71" s="3">
        <v>100349</v>
      </c>
      <c r="E71" s="36" t="s">
        <v>174</v>
      </c>
      <c r="F71" s="3">
        <v>43.8</v>
      </c>
      <c r="G71" s="3" t="s">
        <v>83</v>
      </c>
      <c r="H71" s="17">
        <f t="shared" si="42"/>
        <v>766.46</v>
      </c>
      <c r="I71" s="17">
        <f t="shared" si="43"/>
        <v>27.69</v>
      </c>
      <c r="J71" s="17">
        <f t="shared" si="44"/>
        <v>33570.949999999997</v>
      </c>
      <c r="K71" s="17">
        <f t="shared" si="45"/>
        <v>1212.82</v>
      </c>
      <c r="L71" s="17">
        <f t="shared" si="46"/>
        <v>34783.769999999997</v>
      </c>
      <c r="M71" s="78">
        <f t="shared" si="36"/>
        <v>2.9100721766087502E-2</v>
      </c>
      <c r="N71" s="76">
        <v>616.97</v>
      </c>
      <c r="O71" s="17">
        <v>22.29</v>
      </c>
    </row>
    <row r="72" spans="2:18" x14ac:dyDescent="0.25">
      <c r="B72" s="3" t="s">
        <v>183</v>
      </c>
      <c r="C72" s="3" t="s">
        <v>148</v>
      </c>
      <c r="D72" s="3">
        <v>5914569</v>
      </c>
      <c r="E72" s="36" t="s">
        <v>152</v>
      </c>
      <c r="F72" s="52">
        <f>((43.8*2400)/1000)*51.8</f>
        <v>5445.2160000000003</v>
      </c>
      <c r="G72" s="3" t="s">
        <v>153</v>
      </c>
      <c r="H72" s="17">
        <f t="shared" si="42"/>
        <v>0.77</v>
      </c>
      <c r="I72" s="17">
        <f t="shared" si="43"/>
        <v>0</v>
      </c>
      <c r="J72" s="17">
        <f t="shared" si="44"/>
        <v>4192.82</v>
      </c>
      <c r="K72" s="17">
        <f t="shared" si="45"/>
        <v>0</v>
      </c>
      <c r="L72" s="17">
        <f t="shared" si="46"/>
        <v>4192.82</v>
      </c>
      <c r="M72" s="78">
        <f t="shared" si="36"/>
        <v>3.5077879204953059E-3</v>
      </c>
      <c r="N72" s="76">
        <v>0.62</v>
      </c>
      <c r="O72" s="17"/>
    </row>
    <row r="73" spans="2:18" ht="30" x14ac:dyDescent="0.25">
      <c r="B73" s="3" t="s">
        <v>338</v>
      </c>
      <c r="C73" s="3" t="s">
        <v>22</v>
      </c>
      <c r="D73" s="3">
        <v>95878</v>
      </c>
      <c r="E73" s="92" t="s">
        <v>332</v>
      </c>
      <c r="F73" s="3">
        <v>91.5</v>
      </c>
      <c r="G73" s="3" t="s">
        <v>331</v>
      </c>
      <c r="H73" s="17">
        <f t="shared" si="42"/>
        <v>1.88</v>
      </c>
      <c r="I73" s="17">
        <f t="shared" si="43"/>
        <v>0.24</v>
      </c>
      <c r="J73" s="17">
        <f t="shared" si="44"/>
        <v>172.02</v>
      </c>
      <c r="K73" s="17">
        <f t="shared" si="45"/>
        <v>21.96</v>
      </c>
      <c r="L73" s="17">
        <f t="shared" si="46"/>
        <v>193.98</v>
      </c>
      <c r="M73" s="78">
        <f t="shared" si="36"/>
        <v>1.6228712437397252E-4</v>
      </c>
      <c r="N73" s="76">
        <v>1.51</v>
      </c>
      <c r="O73" s="17">
        <v>0.19</v>
      </c>
    </row>
    <row r="74" spans="2:18" ht="45" x14ac:dyDescent="0.25">
      <c r="B74" s="3" t="s">
        <v>339</v>
      </c>
      <c r="C74" s="3" t="s">
        <v>22</v>
      </c>
      <c r="D74" s="3">
        <v>93596</v>
      </c>
      <c r="E74" s="92" t="s">
        <v>333</v>
      </c>
      <c r="F74" s="3">
        <v>225.7</v>
      </c>
      <c r="G74" s="3" t="s">
        <v>331</v>
      </c>
      <c r="H74" s="17">
        <f t="shared" si="42"/>
        <v>0.75</v>
      </c>
      <c r="I74" s="17">
        <f t="shared" si="43"/>
        <v>0.09</v>
      </c>
      <c r="J74" s="17">
        <f t="shared" si="44"/>
        <v>169.28</v>
      </c>
      <c r="K74" s="17">
        <f t="shared" si="45"/>
        <v>20.309999999999999</v>
      </c>
      <c r="L74" s="17">
        <f t="shared" si="46"/>
        <v>189.59</v>
      </c>
      <c r="M74" s="78">
        <f t="shared" si="36"/>
        <v>1.5861437215208501E-4</v>
      </c>
      <c r="N74" s="76">
        <v>0.6</v>
      </c>
      <c r="O74" s="17">
        <v>7.0000000000000007E-2</v>
      </c>
    </row>
    <row r="75" spans="2:18" x14ac:dyDescent="0.25">
      <c r="B75" s="104">
        <v>6</v>
      </c>
      <c r="C75" s="105"/>
      <c r="D75" s="105"/>
      <c r="E75" s="105" t="s">
        <v>95</v>
      </c>
      <c r="F75" s="105"/>
      <c r="G75" s="105"/>
      <c r="H75" s="105"/>
      <c r="I75" s="105"/>
      <c r="J75" s="34"/>
      <c r="K75" s="34"/>
      <c r="L75" s="31">
        <f>ROUND(L76+L95+L103+L122+L114,2)</f>
        <v>447344.3</v>
      </c>
      <c r="M75" s="79">
        <f>L75/L143</f>
        <v>0.37425621224913741</v>
      </c>
      <c r="N75" s="20"/>
      <c r="O75" s="20"/>
    </row>
    <row r="76" spans="2:18" x14ac:dyDescent="0.25">
      <c r="B76" s="102" t="s">
        <v>184</v>
      </c>
      <c r="C76" s="103"/>
      <c r="D76" s="103"/>
      <c r="E76" s="103" t="s">
        <v>200</v>
      </c>
      <c r="F76" s="103"/>
      <c r="G76" s="103"/>
      <c r="H76" s="103"/>
      <c r="I76" s="103"/>
      <c r="J76" s="1"/>
      <c r="K76" s="1"/>
      <c r="L76" s="2">
        <f>ROUND(SUM(L77:L94),2)</f>
        <v>317937.09999999998</v>
      </c>
      <c r="M76" s="80">
        <f>SUM(M77:M94)</f>
        <v>0.26599184292607553</v>
      </c>
      <c r="N76" s="20"/>
      <c r="O76" s="20"/>
    </row>
    <row r="77" spans="2:18" ht="30" x14ac:dyDescent="0.25">
      <c r="B77" s="3" t="s">
        <v>185</v>
      </c>
      <c r="C77" s="3" t="s">
        <v>148</v>
      </c>
      <c r="D77" s="3">
        <v>3106427</v>
      </c>
      <c r="E77" s="36" t="s">
        <v>197</v>
      </c>
      <c r="F77" s="3">
        <v>450.72</v>
      </c>
      <c r="G77" s="3" t="s">
        <v>81</v>
      </c>
      <c r="H77" s="17">
        <f t="shared" ref="H77:H94" si="47">ROUND(N77*(1+L$5),2)</f>
        <v>32.04</v>
      </c>
      <c r="I77" s="17">
        <f t="shared" ref="I77:I94" si="48">ROUND(O77*(1+L$5),2)</f>
        <v>16.8</v>
      </c>
      <c r="J77" s="17">
        <f t="shared" ref="J77:J91" si="49">ROUND(H77*F77,2)</f>
        <v>14441.07</v>
      </c>
      <c r="K77" s="17">
        <f t="shared" ref="K77:K91" si="50">ROUND(F77*I77,2)</f>
        <v>7572.1</v>
      </c>
      <c r="L77" s="17">
        <f t="shared" ref="L77:L91" si="51">ROUND(J77+K77,2)</f>
        <v>22013.17</v>
      </c>
      <c r="M77" s="78">
        <f t="shared" ref="M77:M121" si="52">L77/L$143</f>
        <v>1.8416610257013098E-2</v>
      </c>
      <c r="N77" s="76">
        <v>25.79</v>
      </c>
      <c r="O77" s="17">
        <v>13.52</v>
      </c>
    </row>
    <row r="78" spans="2:18" ht="30" x14ac:dyDescent="0.25">
      <c r="B78" s="3" t="s">
        <v>188</v>
      </c>
      <c r="C78" s="3" t="s">
        <v>22</v>
      </c>
      <c r="D78" s="3">
        <v>92759</v>
      </c>
      <c r="E78" s="36" t="s">
        <v>186</v>
      </c>
      <c r="F78" s="3">
        <v>187.02</v>
      </c>
      <c r="G78" s="3" t="s">
        <v>79</v>
      </c>
      <c r="H78" s="17">
        <f t="shared" si="47"/>
        <v>12.36</v>
      </c>
      <c r="I78" s="17">
        <f t="shared" si="48"/>
        <v>4.88</v>
      </c>
      <c r="J78" s="17">
        <f t="shared" si="49"/>
        <v>2311.5700000000002</v>
      </c>
      <c r="K78" s="17">
        <f t="shared" si="50"/>
        <v>912.66</v>
      </c>
      <c r="L78" s="17">
        <f t="shared" si="51"/>
        <v>3224.23</v>
      </c>
      <c r="M78" s="78">
        <f t="shared" si="52"/>
        <v>2.6974482679672823E-3</v>
      </c>
      <c r="N78" s="76">
        <v>9.9499999999999993</v>
      </c>
      <c r="O78" s="17">
        <v>3.93</v>
      </c>
    </row>
    <row r="79" spans="2:18" ht="30" x14ac:dyDescent="0.25">
      <c r="B79" s="3" t="s">
        <v>189</v>
      </c>
      <c r="C79" s="3" t="s">
        <v>22</v>
      </c>
      <c r="D79" s="3">
        <v>92761</v>
      </c>
      <c r="E79" s="36" t="s">
        <v>96</v>
      </c>
      <c r="F79" s="3">
        <v>2132.4299999999998</v>
      </c>
      <c r="G79" s="3" t="s">
        <v>79</v>
      </c>
      <c r="H79" s="17">
        <f t="shared" si="47"/>
        <v>13.16</v>
      </c>
      <c r="I79" s="17">
        <f t="shared" si="48"/>
        <v>2.12</v>
      </c>
      <c r="J79" s="17">
        <f t="shared" si="49"/>
        <v>28062.78</v>
      </c>
      <c r="K79" s="17">
        <f t="shared" si="50"/>
        <v>4520.75</v>
      </c>
      <c r="L79" s="17">
        <f t="shared" si="51"/>
        <v>32583.53</v>
      </c>
      <c r="M79" s="78">
        <f t="shared" si="52"/>
        <v>2.7259961777776395E-2</v>
      </c>
      <c r="N79" s="76">
        <v>10.59</v>
      </c>
      <c r="O79" s="17">
        <v>1.71</v>
      </c>
      <c r="R79" s="4"/>
    </row>
    <row r="80" spans="2:18" ht="30" x14ac:dyDescent="0.25">
      <c r="B80" s="3" t="s">
        <v>190</v>
      </c>
      <c r="C80" s="3" t="s">
        <v>22</v>
      </c>
      <c r="D80" s="3">
        <v>92762</v>
      </c>
      <c r="E80" s="36" t="s">
        <v>187</v>
      </c>
      <c r="F80" s="3">
        <v>2438.38</v>
      </c>
      <c r="G80" s="3" t="s">
        <v>79</v>
      </c>
      <c r="H80" s="17">
        <f t="shared" si="47"/>
        <v>12.22</v>
      </c>
      <c r="I80" s="17">
        <f t="shared" si="48"/>
        <v>1.42</v>
      </c>
      <c r="J80" s="17">
        <f t="shared" si="49"/>
        <v>29797</v>
      </c>
      <c r="K80" s="17">
        <f t="shared" si="50"/>
        <v>3462.5</v>
      </c>
      <c r="L80" s="17">
        <f t="shared" si="51"/>
        <v>33259.5</v>
      </c>
      <c r="M80" s="78">
        <f t="shared" si="52"/>
        <v>2.7825490324343432E-2</v>
      </c>
      <c r="N80" s="76">
        <v>9.84</v>
      </c>
      <c r="O80" s="17">
        <v>1.1399999999999999</v>
      </c>
      <c r="Q80" s="22"/>
    </row>
    <row r="81" spans="2:19" ht="30" x14ac:dyDescent="0.25">
      <c r="B81" s="3" t="s">
        <v>191</v>
      </c>
      <c r="C81" s="3" t="s">
        <v>22</v>
      </c>
      <c r="D81" s="3">
        <v>92763</v>
      </c>
      <c r="E81" s="36" t="s">
        <v>196</v>
      </c>
      <c r="F81" s="3">
        <v>1756.21</v>
      </c>
      <c r="G81" s="3" t="s">
        <v>79</v>
      </c>
      <c r="H81" s="17">
        <f t="shared" si="47"/>
        <v>10.55</v>
      </c>
      <c r="I81" s="17">
        <f t="shared" si="48"/>
        <v>0.87</v>
      </c>
      <c r="J81" s="17">
        <f t="shared" si="49"/>
        <v>18528.02</v>
      </c>
      <c r="K81" s="17">
        <f t="shared" si="50"/>
        <v>1527.9</v>
      </c>
      <c r="L81" s="17">
        <f t="shared" si="51"/>
        <v>20055.919999999998</v>
      </c>
      <c r="M81" s="78">
        <f t="shared" si="52"/>
        <v>1.6779140032345822E-2</v>
      </c>
      <c r="N81" s="76">
        <v>8.49</v>
      </c>
      <c r="O81" s="17">
        <v>0.7</v>
      </c>
      <c r="R81" s="4"/>
    </row>
    <row r="82" spans="2:19" ht="30" x14ac:dyDescent="0.25">
      <c r="B82" s="3" t="s">
        <v>192</v>
      </c>
      <c r="C82" s="3" t="s">
        <v>22</v>
      </c>
      <c r="D82" s="3">
        <v>92764</v>
      </c>
      <c r="E82" s="36" t="s">
        <v>97</v>
      </c>
      <c r="F82" s="3">
        <v>1465.8</v>
      </c>
      <c r="G82" s="3" t="s">
        <v>79</v>
      </c>
      <c r="H82" s="17">
        <f t="shared" si="47"/>
        <v>10.46</v>
      </c>
      <c r="I82" s="17">
        <f t="shared" si="48"/>
        <v>0.62</v>
      </c>
      <c r="J82" s="17">
        <f t="shared" si="49"/>
        <v>15332.27</v>
      </c>
      <c r="K82" s="17">
        <f t="shared" si="50"/>
        <v>908.8</v>
      </c>
      <c r="L82" s="17">
        <f t="shared" si="51"/>
        <v>16241.07</v>
      </c>
      <c r="M82" s="78">
        <f t="shared" si="52"/>
        <v>1.3587568548594669E-2</v>
      </c>
      <c r="N82" s="76">
        <v>8.42</v>
      </c>
      <c r="O82" s="17">
        <v>0.5</v>
      </c>
      <c r="S82" s="4"/>
    </row>
    <row r="83" spans="2:19" x14ac:dyDescent="0.25">
      <c r="B83" s="3" t="s">
        <v>193</v>
      </c>
      <c r="C83" s="3" t="s">
        <v>148</v>
      </c>
      <c r="D83" s="3">
        <v>4507957</v>
      </c>
      <c r="E83" s="36" t="s">
        <v>198</v>
      </c>
      <c r="F83" s="3">
        <v>2594.3000000000002</v>
      </c>
      <c r="G83" s="3" t="s">
        <v>79</v>
      </c>
      <c r="H83" s="17">
        <f t="shared" si="47"/>
        <v>13.95</v>
      </c>
      <c r="I83" s="17">
        <f t="shared" si="48"/>
        <v>0.41</v>
      </c>
      <c r="J83" s="17">
        <f t="shared" si="49"/>
        <v>36190.49</v>
      </c>
      <c r="K83" s="17">
        <f t="shared" si="50"/>
        <v>1063.6600000000001</v>
      </c>
      <c r="L83" s="17">
        <f t="shared" si="51"/>
        <v>37254.15</v>
      </c>
      <c r="M83" s="78">
        <f t="shared" si="52"/>
        <v>3.116748569180652E-2</v>
      </c>
      <c r="N83" s="76">
        <v>11.23</v>
      </c>
      <c r="O83" s="17">
        <v>0.33</v>
      </c>
    </row>
    <row r="84" spans="2:19" ht="30" x14ac:dyDescent="0.25">
      <c r="B84" s="3" t="s">
        <v>194</v>
      </c>
      <c r="C84" s="3" t="s">
        <v>148</v>
      </c>
      <c r="D84" s="3">
        <v>4507767</v>
      </c>
      <c r="E84" s="36" t="s">
        <v>199</v>
      </c>
      <c r="F84" s="3">
        <v>8</v>
      </c>
      <c r="G84" s="3" t="s">
        <v>3</v>
      </c>
      <c r="H84" s="17">
        <f t="shared" si="47"/>
        <v>603.99</v>
      </c>
      <c r="I84" s="17">
        <f t="shared" si="48"/>
        <v>26.77</v>
      </c>
      <c r="J84" s="17">
        <f t="shared" si="49"/>
        <v>4831.92</v>
      </c>
      <c r="K84" s="17">
        <f t="shared" si="50"/>
        <v>214.16</v>
      </c>
      <c r="L84" s="17">
        <f t="shared" si="51"/>
        <v>5046.08</v>
      </c>
      <c r="M84" s="78">
        <f t="shared" si="52"/>
        <v>4.2216404400505997E-3</v>
      </c>
      <c r="N84" s="76">
        <v>486.19</v>
      </c>
      <c r="O84" s="17">
        <v>21.55</v>
      </c>
    </row>
    <row r="85" spans="2:19" x14ac:dyDescent="0.25">
      <c r="B85" s="3" t="s">
        <v>195</v>
      </c>
      <c r="C85" s="3" t="s">
        <v>18</v>
      </c>
      <c r="D85" s="3" t="s">
        <v>35</v>
      </c>
      <c r="E85" s="36" t="s">
        <v>201</v>
      </c>
      <c r="F85" s="3">
        <v>86.98</v>
      </c>
      <c r="G85" s="3" t="s">
        <v>79</v>
      </c>
      <c r="H85" s="17">
        <f t="shared" si="47"/>
        <v>14.91</v>
      </c>
      <c r="I85" s="17">
        <f t="shared" si="48"/>
        <v>1.39</v>
      </c>
      <c r="J85" s="17">
        <f t="shared" si="49"/>
        <v>1296.8699999999999</v>
      </c>
      <c r="K85" s="17">
        <f t="shared" si="50"/>
        <v>120.9</v>
      </c>
      <c r="L85" s="17">
        <f t="shared" si="51"/>
        <v>1417.77</v>
      </c>
      <c r="M85" s="78">
        <f t="shared" si="52"/>
        <v>1.1861316441060265E-3</v>
      </c>
      <c r="N85" s="76">
        <v>12</v>
      </c>
      <c r="O85" s="17">
        <v>1.1200000000000001</v>
      </c>
    </row>
    <row r="86" spans="2:19" ht="30" x14ac:dyDescent="0.25">
      <c r="B86" s="3" t="s">
        <v>203</v>
      </c>
      <c r="C86" s="3" t="s">
        <v>148</v>
      </c>
      <c r="D86" s="3">
        <v>4507829</v>
      </c>
      <c r="E86" s="98" t="s">
        <v>202</v>
      </c>
      <c r="F86" s="3">
        <v>288</v>
      </c>
      <c r="G86" s="3" t="s">
        <v>89</v>
      </c>
      <c r="H86" s="17">
        <f t="shared" si="47"/>
        <v>32.57</v>
      </c>
      <c r="I86" s="17">
        <f t="shared" si="48"/>
        <v>11.62</v>
      </c>
      <c r="J86" s="17">
        <f t="shared" si="49"/>
        <v>9380.16</v>
      </c>
      <c r="K86" s="17">
        <f t="shared" si="50"/>
        <v>3346.56</v>
      </c>
      <c r="L86" s="17">
        <f t="shared" si="51"/>
        <v>12726.72</v>
      </c>
      <c r="M86" s="78">
        <f t="shared" si="52"/>
        <v>1.0647400719211896E-2</v>
      </c>
      <c r="N86" s="76">
        <v>26.22</v>
      </c>
      <c r="O86" s="17">
        <v>9.35</v>
      </c>
      <c r="P86" s="4"/>
    </row>
    <row r="87" spans="2:19" ht="30" x14ac:dyDescent="0.25">
      <c r="B87" s="3" t="s">
        <v>207</v>
      </c>
      <c r="C87" s="3" t="s">
        <v>20</v>
      </c>
      <c r="D87" s="3">
        <v>9</v>
      </c>
      <c r="E87" s="98" t="s">
        <v>227</v>
      </c>
      <c r="F87" s="3">
        <v>30</v>
      </c>
      <c r="G87" s="3" t="s">
        <v>83</v>
      </c>
      <c r="H87" s="17">
        <f t="shared" si="47"/>
        <v>804.15</v>
      </c>
      <c r="I87" s="17">
        <f t="shared" si="48"/>
        <v>76.95</v>
      </c>
      <c r="J87" s="17">
        <f t="shared" si="49"/>
        <v>24124.5</v>
      </c>
      <c r="K87" s="17">
        <f t="shared" si="50"/>
        <v>2308.5</v>
      </c>
      <c r="L87" s="17">
        <f t="shared" si="51"/>
        <v>26433</v>
      </c>
      <c r="M87" s="78">
        <f t="shared" si="52"/>
        <v>2.2114318788417443E-2</v>
      </c>
      <c r="N87" s="76">
        <v>647.30999999999995</v>
      </c>
      <c r="O87" s="17">
        <v>61.94</v>
      </c>
      <c r="P87" s="4"/>
    </row>
    <row r="88" spans="2:19" x14ac:dyDescent="0.25">
      <c r="B88" s="3" t="s">
        <v>208</v>
      </c>
      <c r="C88" s="3" t="s">
        <v>148</v>
      </c>
      <c r="D88" s="3">
        <v>5914569</v>
      </c>
      <c r="E88" s="98" t="s">
        <v>152</v>
      </c>
      <c r="F88" s="3">
        <f>((30*2400)/1000)*51.8</f>
        <v>3729.6</v>
      </c>
      <c r="G88" s="3" t="s">
        <v>153</v>
      </c>
      <c r="H88" s="17">
        <f t="shared" si="47"/>
        <v>0.77</v>
      </c>
      <c r="I88" s="17">
        <f t="shared" si="48"/>
        <v>0</v>
      </c>
      <c r="J88" s="17">
        <f t="shared" si="49"/>
        <v>2871.79</v>
      </c>
      <c r="K88" s="17">
        <f t="shared" si="50"/>
        <v>0</v>
      </c>
      <c r="L88" s="17">
        <f t="shared" si="51"/>
        <v>2871.79</v>
      </c>
      <c r="M88" s="78">
        <f t="shared" si="52"/>
        <v>2.4025906841217163E-3</v>
      </c>
      <c r="N88" s="76">
        <v>0.62</v>
      </c>
      <c r="O88" s="17"/>
      <c r="P88" s="4"/>
    </row>
    <row r="89" spans="2:19" ht="30" x14ac:dyDescent="0.25">
      <c r="B89" s="3" t="s">
        <v>209</v>
      </c>
      <c r="C89" s="3" t="s">
        <v>148</v>
      </c>
      <c r="D89" s="3">
        <v>5915327</v>
      </c>
      <c r="E89" s="98" t="s">
        <v>369</v>
      </c>
      <c r="F89" s="3">
        <f>51.8*8</f>
        <v>414.4</v>
      </c>
      <c r="G89" s="3" t="s">
        <v>210</v>
      </c>
      <c r="H89" s="17">
        <f t="shared" si="47"/>
        <v>54.77</v>
      </c>
      <c r="I89" s="17">
        <f t="shared" si="48"/>
        <v>0</v>
      </c>
      <c r="J89" s="17">
        <f t="shared" si="49"/>
        <v>22696.69</v>
      </c>
      <c r="K89" s="17">
        <f t="shared" si="50"/>
        <v>0</v>
      </c>
      <c r="L89" s="17">
        <f t="shared" si="51"/>
        <v>22696.69</v>
      </c>
      <c r="M89" s="78">
        <f t="shared" si="52"/>
        <v>1.8988455268107527E-2</v>
      </c>
      <c r="N89" s="76">
        <v>44.09</v>
      </c>
      <c r="O89" s="17"/>
      <c r="P89" s="4"/>
    </row>
    <row r="90" spans="2:19" ht="30" x14ac:dyDescent="0.25">
      <c r="B90" s="3" t="s">
        <v>211</v>
      </c>
      <c r="C90" s="3" t="s">
        <v>148</v>
      </c>
      <c r="D90" s="3">
        <v>5915400</v>
      </c>
      <c r="E90" s="98" t="s">
        <v>370</v>
      </c>
      <c r="F90" s="3">
        <v>8</v>
      </c>
      <c r="G90" s="3" t="s">
        <v>3</v>
      </c>
      <c r="H90" s="17">
        <f t="shared" si="47"/>
        <v>3961.02</v>
      </c>
      <c r="I90" s="17">
        <f t="shared" si="48"/>
        <v>106.29</v>
      </c>
      <c r="J90" s="17">
        <f t="shared" si="49"/>
        <v>31688.16</v>
      </c>
      <c r="K90" s="17">
        <f t="shared" si="50"/>
        <v>850.32</v>
      </c>
      <c r="L90" s="17">
        <f t="shared" si="51"/>
        <v>32538.48</v>
      </c>
      <c r="M90" s="78">
        <f t="shared" si="52"/>
        <v>2.7222272145066593E-2</v>
      </c>
      <c r="N90" s="76">
        <v>3188.46</v>
      </c>
      <c r="O90" s="17">
        <v>85.56</v>
      </c>
      <c r="P90" s="4"/>
    </row>
    <row r="91" spans="2:19" x14ac:dyDescent="0.25">
      <c r="B91" s="3" t="s">
        <v>212</v>
      </c>
      <c r="C91" s="3" t="s">
        <v>148</v>
      </c>
      <c r="D91" s="3">
        <v>3806420</v>
      </c>
      <c r="E91" s="98" t="s">
        <v>213</v>
      </c>
      <c r="F91" s="3">
        <v>8</v>
      </c>
      <c r="G91" s="3" t="s">
        <v>3</v>
      </c>
      <c r="H91" s="17">
        <f t="shared" si="47"/>
        <v>5119.12</v>
      </c>
      <c r="I91" s="17">
        <f t="shared" si="48"/>
        <v>0</v>
      </c>
      <c r="J91" s="17">
        <f t="shared" si="49"/>
        <v>40952.959999999999</v>
      </c>
      <c r="K91" s="17">
        <f t="shared" si="50"/>
        <v>0</v>
      </c>
      <c r="L91" s="17">
        <f t="shared" si="51"/>
        <v>40952.959999999999</v>
      </c>
      <c r="M91" s="78">
        <f t="shared" si="52"/>
        <v>3.4261976043934023E-2</v>
      </c>
      <c r="N91" s="76">
        <v>4120.68</v>
      </c>
      <c r="O91" s="17"/>
      <c r="P91" s="4"/>
    </row>
    <row r="92" spans="2:19" ht="30" x14ac:dyDescent="0.25">
      <c r="B92" s="3" t="s">
        <v>321</v>
      </c>
      <c r="C92" s="3" t="s">
        <v>148</v>
      </c>
      <c r="D92" s="3">
        <v>307732</v>
      </c>
      <c r="E92" s="98" t="s">
        <v>323</v>
      </c>
      <c r="F92" s="3">
        <v>67.2</v>
      </c>
      <c r="G92" s="3" t="s">
        <v>322</v>
      </c>
      <c r="H92" s="17">
        <f t="shared" si="47"/>
        <v>108.38</v>
      </c>
      <c r="I92" s="17">
        <f t="shared" si="48"/>
        <v>4.99</v>
      </c>
      <c r="J92" s="17">
        <f t="shared" ref="J92:J94" si="53">ROUND(H92*F92,2)</f>
        <v>7283.14</v>
      </c>
      <c r="K92" s="17">
        <f t="shared" ref="K92:K94" si="54">ROUND(F92*I92,2)</f>
        <v>335.33</v>
      </c>
      <c r="L92" s="17">
        <f t="shared" ref="L92:L94" si="55">ROUND(J92+K92,2)</f>
        <v>7618.47</v>
      </c>
      <c r="M92" s="78">
        <f t="shared" si="52"/>
        <v>6.3737477494039511E-3</v>
      </c>
      <c r="N92" s="76">
        <v>87.24</v>
      </c>
      <c r="O92" s="17">
        <v>4.0199999999999996</v>
      </c>
      <c r="P92" s="4"/>
    </row>
    <row r="93" spans="2:19" ht="30" x14ac:dyDescent="0.25">
      <c r="B93" s="3" t="s">
        <v>340</v>
      </c>
      <c r="C93" s="3" t="s">
        <v>22</v>
      </c>
      <c r="D93" s="3">
        <v>95878</v>
      </c>
      <c r="E93" s="98" t="s">
        <v>332</v>
      </c>
      <c r="F93" s="3">
        <v>239.4</v>
      </c>
      <c r="G93" s="3" t="s">
        <v>331</v>
      </c>
      <c r="H93" s="17">
        <f t="shared" si="47"/>
        <v>1.88</v>
      </c>
      <c r="I93" s="17">
        <f t="shared" si="48"/>
        <v>0.24</v>
      </c>
      <c r="J93" s="17">
        <f t="shared" si="53"/>
        <v>450.07</v>
      </c>
      <c r="K93" s="17">
        <f t="shared" si="54"/>
        <v>57.46</v>
      </c>
      <c r="L93" s="17">
        <f t="shared" si="55"/>
        <v>507.53</v>
      </c>
      <c r="M93" s="78">
        <f t="shared" si="52"/>
        <v>4.2460864126983333E-4</v>
      </c>
      <c r="N93" s="76">
        <v>1.51</v>
      </c>
      <c r="O93" s="17">
        <v>0.19</v>
      </c>
      <c r="P93" s="4"/>
    </row>
    <row r="94" spans="2:19" ht="45" x14ac:dyDescent="0.25">
      <c r="B94" s="3" t="s">
        <v>341</v>
      </c>
      <c r="C94" s="3" t="s">
        <v>22</v>
      </c>
      <c r="D94" s="3">
        <v>93596</v>
      </c>
      <c r="E94" s="98" t="s">
        <v>333</v>
      </c>
      <c r="F94" s="3">
        <v>590.52</v>
      </c>
      <c r="G94" s="3" t="s">
        <v>331</v>
      </c>
      <c r="H94" s="17">
        <f t="shared" si="47"/>
        <v>0.75</v>
      </c>
      <c r="I94" s="17">
        <f t="shared" si="48"/>
        <v>0.09</v>
      </c>
      <c r="J94" s="17">
        <f t="shared" si="53"/>
        <v>442.89</v>
      </c>
      <c r="K94" s="17">
        <f t="shared" si="54"/>
        <v>53.15</v>
      </c>
      <c r="L94" s="17">
        <f t="shared" si="55"/>
        <v>496.04</v>
      </c>
      <c r="M94" s="78">
        <f t="shared" si="52"/>
        <v>4.1499590253874283E-4</v>
      </c>
      <c r="N94" s="76">
        <v>0.6</v>
      </c>
      <c r="O94" s="17">
        <v>7.0000000000000007E-2</v>
      </c>
      <c r="P94" s="4"/>
    </row>
    <row r="95" spans="2:19" x14ac:dyDescent="0.25">
      <c r="B95" s="102" t="s">
        <v>214</v>
      </c>
      <c r="C95" s="103"/>
      <c r="D95" s="103"/>
      <c r="E95" s="103" t="s">
        <v>215</v>
      </c>
      <c r="F95" s="103"/>
      <c r="G95" s="103"/>
      <c r="H95" s="103"/>
      <c r="I95" s="103"/>
      <c r="J95" s="1"/>
      <c r="K95" s="1"/>
      <c r="L95" s="2">
        <f>ROUND(SUM(L96:L102),2)</f>
        <v>8673.65</v>
      </c>
      <c r="M95" s="80">
        <f>SUM(M96:M102)</f>
        <v>7.2565301388097057E-3</v>
      </c>
      <c r="N95" s="20"/>
      <c r="O95" s="20"/>
      <c r="P95" s="4"/>
    </row>
    <row r="96" spans="2:19" ht="45" x14ac:dyDescent="0.25">
      <c r="B96" s="3" t="s">
        <v>216</v>
      </c>
      <c r="C96" s="3" t="s">
        <v>22</v>
      </c>
      <c r="D96" s="3">
        <v>100341</v>
      </c>
      <c r="E96" s="36" t="s">
        <v>219</v>
      </c>
      <c r="F96" s="3">
        <v>40.799999999999997</v>
      </c>
      <c r="G96" s="3" t="s">
        <v>81</v>
      </c>
      <c r="H96" s="17">
        <f>ROUND(N96*(1+L$5),2)</f>
        <v>0</v>
      </c>
      <c r="I96" s="17">
        <f>ROUND(O96*(1+L$5),2)</f>
        <v>17.98</v>
      </c>
      <c r="J96" s="17">
        <f>ROUND(H96*F96,2)</f>
        <v>0</v>
      </c>
      <c r="K96" s="17">
        <f>ROUND(F96*I96,2)</f>
        <v>733.58</v>
      </c>
      <c r="L96" s="17">
        <f>ROUND(J96+K96,2)</f>
        <v>733.58</v>
      </c>
      <c r="M96" s="78">
        <f t="shared" si="52"/>
        <v>6.1372609907340333E-4</v>
      </c>
      <c r="N96" s="76"/>
      <c r="O96" s="17">
        <v>14.47</v>
      </c>
      <c r="P96" s="4"/>
    </row>
    <row r="97" spans="2:16" ht="30" x14ac:dyDescent="0.25">
      <c r="B97" s="3" t="s">
        <v>217</v>
      </c>
      <c r="C97" s="3" t="s">
        <v>22</v>
      </c>
      <c r="D97" s="3">
        <v>92761</v>
      </c>
      <c r="E97" s="36" t="s">
        <v>96</v>
      </c>
      <c r="F97" s="3">
        <v>29.2</v>
      </c>
      <c r="G97" s="3" t="s">
        <v>79</v>
      </c>
      <c r="H97" s="17">
        <f>ROUND(N97*(1+L$5),2)</f>
        <v>13.16</v>
      </c>
      <c r="I97" s="17">
        <f>ROUND(O97*(1+L$5),2)</f>
        <v>2.12</v>
      </c>
      <c r="J97" s="17">
        <f>ROUND(H97*F97,2)</f>
        <v>384.27</v>
      </c>
      <c r="K97" s="17">
        <f>ROUND(F97*I97,2)</f>
        <v>61.9</v>
      </c>
      <c r="L97" s="17">
        <f>ROUND(J97+K97,2)</f>
        <v>446.17</v>
      </c>
      <c r="M97" s="78">
        <f t="shared" si="52"/>
        <v>3.7327377194522798E-4</v>
      </c>
      <c r="N97" s="76">
        <v>10.59</v>
      </c>
      <c r="O97" s="17">
        <v>1.71</v>
      </c>
      <c r="P97" s="4"/>
    </row>
    <row r="98" spans="2:16" ht="30" x14ac:dyDescent="0.25">
      <c r="B98" s="3" t="s">
        <v>218</v>
      </c>
      <c r="C98" s="3" t="s">
        <v>22</v>
      </c>
      <c r="D98" s="3">
        <v>92764</v>
      </c>
      <c r="E98" s="36" t="s">
        <v>97</v>
      </c>
      <c r="F98" s="3">
        <v>134.82</v>
      </c>
      <c r="G98" s="3" t="s">
        <v>79</v>
      </c>
      <c r="H98" s="17">
        <f>ROUND(N98*(1+L$5),2)</f>
        <v>10.46</v>
      </c>
      <c r="I98" s="17">
        <f>ROUND(O98*(1+L$5),2)</f>
        <v>0.62</v>
      </c>
      <c r="J98" s="17">
        <f>ROUND(H98*F98,2)</f>
        <v>1410.22</v>
      </c>
      <c r="K98" s="17">
        <f>ROUND(F98*I98,2)</f>
        <v>83.59</v>
      </c>
      <c r="L98" s="17">
        <f>ROUND(J98+K98,2)</f>
        <v>1493.81</v>
      </c>
      <c r="M98" s="78">
        <f t="shared" si="52"/>
        <v>1.2497480630017728E-3</v>
      </c>
      <c r="N98" s="76">
        <v>8.42</v>
      </c>
      <c r="O98" s="17">
        <v>0.5</v>
      </c>
      <c r="P98" s="4"/>
    </row>
    <row r="99" spans="2:16" ht="30" x14ac:dyDescent="0.25">
      <c r="B99" s="3" t="s">
        <v>220</v>
      </c>
      <c r="C99" s="3" t="s">
        <v>22</v>
      </c>
      <c r="D99" s="3">
        <v>100349</v>
      </c>
      <c r="E99" s="36" t="s">
        <v>174</v>
      </c>
      <c r="F99" s="3">
        <v>6.72</v>
      </c>
      <c r="G99" s="3" t="s">
        <v>83</v>
      </c>
      <c r="H99" s="17">
        <f>ROUND(N99*(1+L$5),2)</f>
        <v>766.46</v>
      </c>
      <c r="I99" s="17">
        <f>ROUND(O99*(1+L$5),2)</f>
        <v>27.69</v>
      </c>
      <c r="J99" s="17">
        <f>ROUND(H99*F99,2)</f>
        <v>5150.6099999999997</v>
      </c>
      <c r="K99" s="17">
        <f>ROUND(F99*I99,2)</f>
        <v>186.08</v>
      </c>
      <c r="L99" s="17">
        <f>ROUND(J99+K99,2)</f>
        <v>5336.69</v>
      </c>
      <c r="M99" s="78">
        <f t="shared" si="52"/>
        <v>4.4647699441970065E-3</v>
      </c>
      <c r="N99" s="76">
        <f>0.05+0.14+616.78</f>
        <v>616.97</v>
      </c>
      <c r="O99" s="17">
        <v>22.29</v>
      </c>
      <c r="P99" s="4"/>
    </row>
    <row r="100" spans="2:16" x14ac:dyDescent="0.25">
      <c r="B100" s="3" t="s">
        <v>221</v>
      </c>
      <c r="C100" s="3" t="s">
        <v>148</v>
      </c>
      <c r="D100" s="3">
        <v>5914569</v>
      </c>
      <c r="E100" s="36" t="s">
        <v>152</v>
      </c>
      <c r="F100" s="52">
        <f>((6.72*2400)/1000)*51.8</f>
        <v>835.43039999999996</v>
      </c>
      <c r="G100" s="3" t="s">
        <v>153</v>
      </c>
      <c r="H100" s="17">
        <f>ROUND(N100*(1+L$5),2)</f>
        <v>0.77</v>
      </c>
      <c r="I100" s="17">
        <f>ROUND(O100*(1+L$5),2)</f>
        <v>0</v>
      </c>
      <c r="J100" s="17">
        <f>ROUND(H100*F100,2)</f>
        <v>643.28</v>
      </c>
      <c r="K100" s="17">
        <f>ROUND(F100*I100,2)</f>
        <v>0</v>
      </c>
      <c r="L100" s="17">
        <f>ROUND(J100+K100,2)</f>
        <v>643.28</v>
      </c>
      <c r="M100" s="78">
        <f t="shared" si="52"/>
        <v>5.3817951009015898E-4</v>
      </c>
      <c r="N100" s="76">
        <v>0.62</v>
      </c>
      <c r="O100" s="17"/>
      <c r="P100" s="4"/>
    </row>
    <row r="101" spans="2:16" ht="30" x14ac:dyDescent="0.25">
      <c r="B101" s="3" t="s">
        <v>342</v>
      </c>
      <c r="C101" s="3" t="s">
        <v>22</v>
      </c>
      <c r="D101" s="3">
        <v>95878</v>
      </c>
      <c r="E101" s="92" t="s">
        <v>332</v>
      </c>
      <c r="F101" s="3">
        <v>4.8</v>
      </c>
      <c r="G101" s="3" t="s">
        <v>331</v>
      </c>
      <c r="H101" s="17">
        <f t="shared" ref="H101:H102" si="56">ROUND(N101*(1+L$5),2)</f>
        <v>1.88</v>
      </c>
      <c r="I101" s="17">
        <f t="shared" ref="I101:I102" si="57">ROUND(O101*(1+L$5),2)</f>
        <v>0.24</v>
      </c>
      <c r="J101" s="17">
        <f t="shared" ref="J101:J102" si="58">ROUND(H101*F101,2)</f>
        <v>9.02</v>
      </c>
      <c r="K101" s="17">
        <f t="shared" ref="K101:K102" si="59">ROUND(F101*I101,2)</f>
        <v>1.1499999999999999</v>
      </c>
      <c r="L101" s="17">
        <f t="shared" ref="L101:L102" si="60">ROUND(J101+K101,2)</f>
        <v>10.17</v>
      </c>
      <c r="M101" s="78">
        <f t="shared" si="52"/>
        <v>8.5084032110697003E-6</v>
      </c>
      <c r="N101" s="76">
        <v>1.51</v>
      </c>
      <c r="O101" s="17">
        <v>0.19</v>
      </c>
      <c r="P101" s="4"/>
    </row>
    <row r="102" spans="2:16" ht="45" x14ac:dyDescent="0.25">
      <c r="B102" s="3" t="s">
        <v>343</v>
      </c>
      <c r="C102" s="3" t="s">
        <v>22</v>
      </c>
      <c r="D102" s="3">
        <v>93596</v>
      </c>
      <c r="E102" s="92" t="s">
        <v>333</v>
      </c>
      <c r="F102" s="3">
        <v>11.84</v>
      </c>
      <c r="G102" s="3" t="s">
        <v>331</v>
      </c>
      <c r="H102" s="17">
        <f t="shared" si="56"/>
        <v>0.75</v>
      </c>
      <c r="I102" s="17">
        <f t="shared" si="57"/>
        <v>0.09</v>
      </c>
      <c r="J102" s="17">
        <f t="shared" si="58"/>
        <v>8.8800000000000008</v>
      </c>
      <c r="K102" s="17">
        <f t="shared" si="59"/>
        <v>1.07</v>
      </c>
      <c r="L102" s="17">
        <f t="shared" si="60"/>
        <v>9.9499999999999993</v>
      </c>
      <c r="M102" s="78">
        <f t="shared" si="52"/>
        <v>8.3243472910662259E-6</v>
      </c>
      <c r="N102" s="76">
        <v>0.6</v>
      </c>
      <c r="O102" s="17">
        <v>7.0000000000000007E-2</v>
      </c>
      <c r="P102" s="4"/>
    </row>
    <row r="103" spans="2:16" x14ac:dyDescent="0.25">
      <c r="B103" s="102" t="s">
        <v>222</v>
      </c>
      <c r="C103" s="103"/>
      <c r="D103" s="103"/>
      <c r="E103" s="103" t="s">
        <v>261</v>
      </c>
      <c r="F103" s="103"/>
      <c r="G103" s="103"/>
      <c r="H103" s="103"/>
      <c r="I103" s="103"/>
      <c r="J103" s="1"/>
      <c r="K103" s="1"/>
      <c r="L103" s="2">
        <f>ROUND(SUM(L104:L113),2)</f>
        <v>46225.04</v>
      </c>
      <c r="M103" s="80">
        <f>SUM(M104:M113)</f>
        <v>3.8672692110897286E-2</v>
      </c>
      <c r="N103" s="20"/>
      <c r="O103" s="20"/>
    </row>
    <row r="104" spans="2:16" ht="30" x14ac:dyDescent="0.25">
      <c r="B104" s="3" t="s">
        <v>223</v>
      </c>
      <c r="C104" s="3" t="s">
        <v>22</v>
      </c>
      <c r="D104" s="3">
        <v>92267</v>
      </c>
      <c r="E104" s="36" t="s">
        <v>265</v>
      </c>
      <c r="F104" s="3">
        <v>217.73</v>
      </c>
      <c r="G104" s="3" t="s">
        <v>81</v>
      </c>
      <c r="H104" s="17">
        <f t="shared" ref="H104:H113" si="61">ROUND(N104*(1+L$5),2)</f>
        <v>44.1</v>
      </c>
      <c r="I104" s="17">
        <f t="shared" ref="I104:I113" si="62">ROUND(O104*(1+L$5),2)</f>
        <v>1.33</v>
      </c>
      <c r="J104" s="17">
        <f t="shared" ref="J104:J121" si="63">ROUND(H104*F104,2)</f>
        <v>9601.89</v>
      </c>
      <c r="K104" s="17">
        <f t="shared" ref="K104:K121" si="64">ROUND(F104*I104,2)</f>
        <v>289.58</v>
      </c>
      <c r="L104" s="17">
        <f t="shared" ref="L104:L121" si="65">ROUND(J104+K104,2)</f>
        <v>9891.4699999999993</v>
      </c>
      <c r="M104" s="78">
        <f t="shared" si="52"/>
        <v>8.2753800501671193E-3</v>
      </c>
      <c r="N104" s="76">
        <v>35.5</v>
      </c>
      <c r="O104" s="17">
        <v>1.07</v>
      </c>
    </row>
    <row r="105" spans="2:16" ht="30" x14ac:dyDescent="0.25">
      <c r="B105" s="3" t="s">
        <v>224</v>
      </c>
      <c r="C105" s="3" t="s">
        <v>45</v>
      </c>
      <c r="D105" s="3">
        <v>7156</v>
      </c>
      <c r="E105" s="36" t="s">
        <v>238</v>
      </c>
      <c r="F105" s="3">
        <v>234</v>
      </c>
      <c r="G105" s="3" t="s">
        <v>81</v>
      </c>
      <c r="H105" s="17">
        <f t="shared" si="61"/>
        <v>31.94</v>
      </c>
      <c r="I105" s="17">
        <f t="shared" si="62"/>
        <v>0</v>
      </c>
      <c r="J105" s="17">
        <f t="shared" si="63"/>
        <v>7473.96</v>
      </c>
      <c r="K105" s="17">
        <f t="shared" si="64"/>
        <v>0</v>
      </c>
      <c r="L105" s="17">
        <f t="shared" si="65"/>
        <v>7473.96</v>
      </c>
      <c r="M105" s="78">
        <f t="shared" si="52"/>
        <v>6.2528481084962147E-3</v>
      </c>
      <c r="N105" s="76">
        <v>25.71</v>
      </c>
      <c r="O105" s="17"/>
    </row>
    <row r="106" spans="2:16" ht="30" x14ac:dyDescent="0.25">
      <c r="B106" s="3" t="s">
        <v>228</v>
      </c>
      <c r="C106" s="3" t="s">
        <v>45</v>
      </c>
      <c r="D106" s="3">
        <v>42407</v>
      </c>
      <c r="E106" s="36" t="s">
        <v>225</v>
      </c>
      <c r="F106" s="3">
        <v>691.2</v>
      </c>
      <c r="G106" s="3" t="s">
        <v>89</v>
      </c>
      <c r="H106" s="17">
        <f t="shared" si="61"/>
        <v>7.28</v>
      </c>
      <c r="I106" s="17">
        <f t="shared" si="62"/>
        <v>0</v>
      </c>
      <c r="J106" s="17">
        <f t="shared" si="63"/>
        <v>5031.9399999999996</v>
      </c>
      <c r="K106" s="17">
        <f t="shared" si="64"/>
        <v>0</v>
      </c>
      <c r="L106" s="17">
        <f t="shared" si="65"/>
        <v>5031.9399999999996</v>
      </c>
      <c r="M106" s="78">
        <f t="shared" si="52"/>
        <v>4.2098106641012848E-3</v>
      </c>
      <c r="N106" s="76">
        <v>5.86</v>
      </c>
      <c r="O106" s="17"/>
    </row>
    <row r="107" spans="2:16" ht="30" x14ac:dyDescent="0.25">
      <c r="B107" s="3" t="s">
        <v>229</v>
      </c>
      <c r="C107" s="3" t="s">
        <v>20</v>
      </c>
      <c r="D107" s="3">
        <v>9</v>
      </c>
      <c r="E107" s="36" t="s">
        <v>245</v>
      </c>
      <c r="F107" s="3">
        <v>13.82</v>
      </c>
      <c r="G107" s="3" t="s">
        <v>83</v>
      </c>
      <c r="H107" s="17">
        <f t="shared" si="61"/>
        <v>804.15</v>
      </c>
      <c r="I107" s="17">
        <f t="shared" si="62"/>
        <v>76.95</v>
      </c>
      <c r="J107" s="17">
        <f t="shared" si="63"/>
        <v>11113.35</v>
      </c>
      <c r="K107" s="17">
        <f t="shared" si="64"/>
        <v>1063.45</v>
      </c>
      <c r="L107" s="17">
        <f t="shared" si="65"/>
        <v>12176.8</v>
      </c>
      <c r="M107" s="78">
        <f t="shared" si="52"/>
        <v>1.0187327848628665E-2</v>
      </c>
      <c r="N107" s="76">
        <v>647.30999999999995</v>
      </c>
      <c r="O107" s="17">
        <v>61.94</v>
      </c>
    </row>
    <row r="108" spans="2:16" ht="30" x14ac:dyDescent="0.25">
      <c r="B108" s="3" t="s">
        <v>231</v>
      </c>
      <c r="C108" s="3" t="s">
        <v>22</v>
      </c>
      <c r="D108" s="3">
        <v>92768</v>
      </c>
      <c r="E108" s="37" t="s">
        <v>230</v>
      </c>
      <c r="F108" s="3">
        <v>415.8</v>
      </c>
      <c r="G108" s="3" t="s">
        <v>79</v>
      </c>
      <c r="H108" s="17">
        <f t="shared" si="61"/>
        <v>12.34</v>
      </c>
      <c r="I108" s="17">
        <f t="shared" si="62"/>
        <v>4.2</v>
      </c>
      <c r="J108" s="17">
        <f t="shared" ref="J108:J113" si="66">ROUND(H108*F108,2)</f>
        <v>5130.97</v>
      </c>
      <c r="K108" s="17">
        <f t="shared" ref="K108:K113" si="67">ROUND(F108*I108,2)</f>
        <v>1746.36</v>
      </c>
      <c r="L108" s="17">
        <f t="shared" ref="L108:L113" si="68">ROUND(J108+K108,2)</f>
        <v>6877.33</v>
      </c>
      <c r="M108" s="78">
        <f t="shared" si="52"/>
        <v>5.7536968196249738E-3</v>
      </c>
      <c r="N108" s="76">
        <v>9.93</v>
      </c>
      <c r="O108" s="17">
        <v>3.38</v>
      </c>
    </row>
    <row r="109" spans="2:16" ht="30" x14ac:dyDescent="0.25">
      <c r="B109" s="3" t="s">
        <v>233</v>
      </c>
      <c r="C109" s="3" t="s">
        <v>22</v>
      </c>
      <c r="D109" s="3">
        <v>92770</v>
      </c>
      <c r="E109" s="37" t="s">
        <v>232</v>
      </c>
      <c r="F109" s="3">
        <v>58.87</v>
      </c>
      <c r="G109" s="3" t="s">
        <v>79</v>
      </c>
      <c r="H109" s="17">
        <f t="shared" si="61"/>
        <v>13.03</v>
      </c>
      <c r="I109" s="17">
        <f t="shared" si="62"/>
        <v>1.65</v>
      </c>
      <c r="J109" s="17">
        <f t="shared" si="66"/>
        <v>767.08</v>
      </c>
      <c r="K109" s="17">
        <f t="shared" si="67"/>
        <v>97.14</v>
      </c>
      <c r="L109" s="17">
        <f t="shared" si="68"/>
        <v>864.22</v>
      </c>
      <c r="M109" s="78">
        <f t="shared" si="52"/>
        <v>7.2302185084273916E-4</v>
      </c>
      <c r="N109" s="76">
        <v>10.49</v>
      </c>
      <c r="O109" s="17">
        <v>1.33</v>
      </c>
    </row>
    <row r="110" spans="2:16" x14ac:dyDescent="0.25">
      <c r="B110" s="3" t="s">
        <v>234</v>
      </c>
      <c r="C110" s="3" t="s">
        <v>148</v>
      </c>
      <c r="D110" s="3">
        <v>3806426</v>
      </c>
      <c r="E110" s="37" t="s">
        <v>236</v>
      </c>
      <c r="F110" s="3">
        <v>33.18</v>
      </c>
      <c r="G110" s="3" t="s">
        <v>237</v>
      </c>
      <c r="H110" s="17">
        <f t="shared" si="61"/>
        <v>49.58</v>
      </c>
      <c r="I110" s="17">
        <f t="shared" si="62"/>
        <v>26.57</v>
      </c>
      <c r="J110" s="17">
        <f t="shared" si="66"/>
        <v>1645.06</v>
      </c>
      <c r="K110" s="17">
        <f t="shared" si="67"/>
        <v>881.59</v>
      </c>
      <c r="L110" s="17">
        <f t="shared" si="68"/>
        <v>2526.65</v>
      </c>
      <c r="M110" s="78">
        <f t="shared" si="52"/>
        <v>2.1138404103489931E-3</v>
      </c>
      <c r="N110" s="76">
        <v>39.909999999999997</v>
      </c>
      <c r="O110" s="17">
        <v>21.39</v>
      </c>
    </row>
    <row r="111" spans="2:16" x14ac:dyDescent="0.25">
      <c r="B111" s="3" t="s">
        <v>235</v>
      </c>
      <c r="C111" s="3" t="s">
        <v>148</v>
      </c>
      <c r="D111" s="3">
        <v>5914569</v>
      </c>
      <c r="E111" s="37" t="s">
        <v>152</v>
      </c>
      <c r="F111" s="52">
        <f>((13.82*2400)/1000)*51.8</f>
        <v>1718.1023999999998</v>
      </c>
      <c r="G111" s="3" t="s">
        <v>153</v>
      </c>
      <c r="H111" s="17">
        <f t="shared" si="61"/>
        <v>0.77</v>
      </c>
      <c r="I111" s="17">
        <f t="shared" si="62"/>
        <v>0</v>
      </c>
      <c r="J111" s="17">
        <f t="shared" si="66"/>
        <v>1322.94</v>
      </c>
      <c r="K111" s="17">
        <f t="shared" si="67"/>
        <v>0</v>
      </c>
      <c r="L111" s="17">
        <f t="shared" si="68"/>
        <v>1322.94</v>
      </c>
      <c r="M111" s="78">
        <f t="shared" si="52"/>
        <v>1.1067951764063473E-3</v>
      </c>
      <c r="N111" s="76">
        <v>0.62</v>
      </c>
      <c r="O111" s="17"/>
    </row>
    <row r="112" spans="2:16" ht="30" x14ac:dyDescent="0.25">
      <c r="B112" s="3" t="s">
        <v>344</v>
      </c>
      <c r="C112" s="3" t="s">
        <v>22</v>
      </c>
      <c r="D112" s="3">
        <v>95878</v>
      </c>
      <c r="E112" s="92" t="s">
        <v>332</v>
      </c>
      <c r="F112" s="3">
        <v>14.25</v>
      </c>
      <c r="G112" s="3" t="s">
        <v>331</v>
      </c>
      <c r="H112" s="17">
        <f t="shared" si="61"/>
        <v>1.88</v>
      </c>
      <c r="I112" s="17">
        <f t="shared" si="62"/>
        <v>0.24</v>
      </c>
      <c r="J112" s="17">
        <f t="shared" si="66"/>
        <v>26.79</v>
      </c>
      <c r="K112" s="17">
        <f t="shared" si="67"/>
        <v>3.42</v>
      </c>
      <c r="L112" s="17">
        <f t="shared" si="68"/>
        <v>30.21</v>
      </c>
      <c r="M112" s="78">
        <f t="shared" si="52"/>
        <v>2.527422428774982E-5</v>
      </c>
      <c r="N112" s="76">
        <v>1.51</v>
      </c>
      <c r="O112" s="17">
        <v>0.19</v>
      </c>
    </row>
    <row r="113" spans="2:22" ht="45" x14ac:dyDescent="0.25">
      <c r="B113" s="3" t="s">
        <v>345</v>
      </c>
      <c r="C113" s="3" t="s">
        <v>22</v>
      </c>
      <c r="D113" s="3">
        <v>93596</v>
      </c>
      <c r="E113" s="92" t="s">
        <v>333</v>
      </c>
      <c r="F113" s="3">
        <v>35.15</v>
      </c>
      <c r="G113" s="3" t="s">
        <v>331</v>
      </c>
      <c r="H113" s="17">
        <f t="shared" si="61"/>
        <v>0.75</v>
      </c>
      <c r="I113" s="17">
        <f t="shared" si="62"/>
        <v>0.09</v>
      </c>
      <c r="J113" s="17">
        <f t="shared" si="66"/>
        <v>26.36</v>
      </c>
      <c r="K113" s="17">
        <f t="shared" si="67"/>
        <v>3.16</v>
      </c>
      <c r="L113" s="17">
        <f t="shared" si="68"/>
        <v>29.52</v>
      </c>
      <c r="M113" s="78">
        <f t="shared" si="52"/>
        <v>2.4696957993193466E-5</v>
      </c>
      <c r="N113" s="76">
        <v>0.6</v>
      </c>
      <c r="O113" s="17">
        <v>7.0000000000000007E-2</v>
      </c>
    </row>
    <row r="114" spans="2:22" x14ac:dyDescent="0.25">
      <c r="B114" s="102" t="s">
        <v>239</v>
      </c>
      <c r="C114" s="103"/>
      <c r="D114" s="103"/>
      <c r="E114" s="103" t="s">
        <v>260</v>
      </c>
      <c r="F114" s="103"/>
      <c r="G114" s="103"/>
      <c r="H114" s="103"/>
      <c r="I114" s="103"/>
      <c r="J114" s="1"/>
      <c r="K114" s="1"/>
      <c r="L114" s="2">
        <f>ROUND(SUM(L115:L121),2)</f>
        <v>72904.259999999995</v>
      </c>
      <c r="M114" s="80">
        <f>SUM(M115:M121)</f>
        <v>6.0993002938511343E-2</v>
      </c>
      <c r="N114" s="76"/>
      <c r="O114" s="17"/>
    </row>
    <row r="115" spans="2:22" ht="30" x14ac:dyDescent="0.25">
      <c r="B115" s="3" t="s">
        <v>240</v>
      </c>
      <c r="C115" s="3" t="s">
        <v>22</v>
      </c>
      <c r="D115" s="3">
        <v>92267</v>
      </c>
      <c r="E115" s="37" t="s">
        <v>268</v>
      </c>
      <c r="F115" s="3">
        <v>79.2</v>
      </c>
      <c r="G115" s="3" t="s">
        <v>81</v>
      </c>
      <c r="H115" s="17">
        <f>ROUND(N115*(1+L$5),2)</f>
        <v>44.1</v>
      </c>
      <c r="I115" s="17">
        <f>ROUND(O115*(1+L$5),2)</f>
        <v>1.33</v>
      </c>
      <c r="J115" s="17">
        <f t="shared" ref="J115:J116" si="69">ROUND(H115*F115,2)</f>
        <v>3492.72</v>
      </c>
      <c r="K115" s="17">
        <f t="shared" ref="K115:K116" si="70">ROUND(F115*I115,2)</f>
        <v>105.34</v>
      </c>
      <c r="L115" s="17">
        <f t="shared" ref="L115:L116" si="71">ROUND(J115+K115,2)</f>
        <v>3598.06</v>
      </c>
      <c r="M115" s="78">
        <f t="shared" si="52"/>
        <v>3.0102011069440952E-3</v>
      </c>
      <c r="N115" s="76">
        <v>35.5</v>
      </c>
      <c r="O115" s="17">
        <v>1.07</v>
      </c>
    </row>
    <row r="116" spans="2:22" ht="30" x14ac:dyDescent="0.25">
      <c r="B116" s="3" t="s">
        <v>242</v>
      </c>
      <c r="C116" s="3" t="s">
        <v>22</v>
      </c>
      <c r="D116" s="3">
        <v>92770</v>
      </c>
      <c r="E116" s="37" t="s">
        <v>266</v>
      </c>
      <c r="F116" s="3">
        <v>143.62</v>
      </c>
      <c r="G116" s="3" t="s">
        <v>79</v>
      </c>
      <c r="H116" s="17">
        <f>ROUND(N116*(1+L$5),2)</f>
        <v>13.03</v>
      </c>
      <c r="I116" s="17">
        <f>ROUND(O116*(1+L$5),2)</f>
        <v>1.65</v>
      </c>
      <c r="J116" s="17">
        <f t="shared" si="69"/>
        <v>1871.37</v>
      </c>
      <c r="K116" s="17">
        <f t="shared" si="70"/>
        <v>236.97</v>
      </c>
      <c r="L116" s="17">
        <f t="shared" si="71"/>
        <v>2108.34</v>
      </c>
      <c r="M116" s="78">
        <f t="shared" si="52"/>
        <v>1.7638748108187506E-3</v>
      </c>
      <c r="N116" s="76">
        <v>10.49</v>
      </c>
      <c r="O116" s="17">
        <v>1.33</v>
      </c>
    </row>
    <row r="117" spans="2:22" ht="30" x14ac:dyDescent="0.25">
      <c r="B117" s="3" t="s">
        <v>262</v>
      </c>
      <c r="C117" s="3" t="s">
        <v>22</v>
      </c>
      <c r="D117" s="3">
        <v>92771</v>
      </c>
      <c r="E117" s="36" t="s">
        <v>267</v>
      </c>
      <c r="F117" s="3">
        <v>2454.91</v>
      </c>
      <c r="G117" s="3" t="s">
        <v>79</v>
      </c>
      <c r="H117" s="17">
        <f>ROUND(N117*(1+L$5),2)</f>
        <v>12.09</v>
      </c>
      <c r="I117" s="17">
        <f>ROUND(O117*(1+L$5),2)</f>
        <v>0.99</v>
      </c>
      <c r="J117" s="17">
        <f t="shared" si="63"/>
        <v>29679.86</v>
      </c>
      <c r="K117" s="17">
        <f t="shared" si="64"/>
        <v>2430.36</v>
      </c>
      <c r="L117" s="17">
        <f t="shared" si="65"/>
        <v>32110.22</v>
      </c>
      <c r="M117" s="78">
        <f t="shared" si="52"/>
        <v>2.6863982198245283E-2</v>
      </c>
      <c r="N117" s="76">
        <v>9.73</v>
      </c>
      <c r="O117" s="17">
        <v>0.8</v>
      </c>
      <c r="R117" s="55"/>
      <c r="V117" s="56"/>
    </row>
    <row r="118" spans="2:22" ht="30" x14ac:dyDescent="0.25">
      <c r="B118" s="3" t="s">
        <v>263</v>
      </c>
      <c r="C118" s="3" t="s">
        <v>20</v>
      </c>
      <c r="D118" s="3">
        <v>9</v>
      </c>
      <c r="E118" s="37" t="s">
        <v>245</v>
      </c>
      <c r="F118" s="3">
        <v>34.229999999999997</v>
      </c>
      <c r="G118" s="3" t="s">
        <v>83</v>
      </c>
      <c r="H118" s="17">
        <f>ROUND(N118*(1+L$5),2)</f>
        <v>804.15</v>
      </c>
      <c r="I118" s="17">
        <f>ROUND(O118*(1+L$5),2)</f>
        <v>76.95</v>
      </c>
      <c r="J118" s="17">
        <f t="shared" ref="J118" si="72">ROUND(H118*F118,2)</f>
        <v>27526.05</v>
      </c>
      <c r="K118" s="17">
        <f t="shared" ref="K118" si="73">ROUND(F118*I118,2)</f>
        <v>2634</v>
      </c>
      <c r="L118" s="17">
        <f t="shared" ref="L118" si="74">ROUND(J118+K118,2)</f>
        <v>30160.05</v>
      </c>
      <c r="M118" s="78">
        <f t="shared" si="52"/>
        <v>2.5232435227730849E-2</v>
      </c>
      <c r="N118" s="76">
        <v>647.30999999999995</v>
      </c>
      <c r="O118" s="17">
        <v>61.94</v>
      </c>
      <c r="R118" s="55"/>
      <c r="V118" s="56"/>
    </row>
    <row r="119" spans="2:22" x14ac:dyDescent="0.25">
      <c r="B119" s="3" t="s">
        <v>264</v>
      </c>
      <c r="C119" s="3" t="s">
        <v>148</v>
      </c>
      <c r="D119" s="3">
        <v>5914569</v>
      </c>
      <c r="E119" s="36" t="s">
        <v>152</v>
      </c>
      <c r="F119" s="52">
        <f>((48.06*2400)/1000)*51.8</f>
        <v>5974.819199999999</v>
      </c>
      <c r="G119" s="3" t="s">
        <v>153</v>
      </c>
      <c r="H119" s="17">
        <f>ROUND(N119*(1+L$5),2)</f>
        <v>0.77</v>
      </c>
      <c r="I119" s="17">
        <f>ROUND(O119*(1+L$5),2)</f>
        <v>0</v>
      </c>
      <c r="J119" s="17">
        <f t="shared" si="63"/>
        <v>4600.6099999999997</v>
      </c>
      <c r="K119" s="17">
        <f t="shared" si="64"/>
        <v>0</v>
      </c>
      <c r="L119" s="17">
        <f t="shared" si="65"/>
        <v>4600.6099999999997</v>
      </c>
      <c r="M119" s="78">
        <f t="shared" si="52"/>
        <v>3.8489523005781094E-3</v>
      </c>
      <c r="N119" s="76">
        <v>0.62</v>
      </c>
      <c r="O119" s="17"/>
      <c r="V119" s="56"/>
    </row>
    <row r="120" spans="2:22" ht="30" x14ac:dyDescent="0.25">
      <c r="B120" s="3" t="s">
        <v>346</v>
      </c>
      <c r="C120" s="3" t="s">
        <v>22</v>
      </c>
      <c r="D120" s="3">
        <v>95878</v>
      </c>
      <c r="E120" s="92" t="s">
        <v>332</v>
      </c>
      <c r="F120" s="3">
        <v>78</v>
      </c>
      <c r="G120" s="3" t="s">
        <v>331</v>
      </c>
      <c r="H120" s="17">
        <f t="shared" ref="H120:H121" si="75">ROUND(N120*(1+L$5),2)</f>
        <v>1.88</v>
      </c>
      <c r="I120" s="17">
        <f t="shared" ref="I120:I121" si="76">ROUND(O120*(1+L$5),2)</f>
        <v>0.24</v>
      </c>
      <c r="J120" s="17">
        <f t="shared" si="63"/>
        <v>146.63999999999999</v>
      </c>
      <c r="K120" s="17">
        <f t="shared" si="64"/>
        <v>18.72</v>
      </c>
      <c r="L120" s="17">
        <f t="shared" si="65"/>
        <v>165.36</v>
      </c>
      <c r="M120" s="78">
        <f t="shared" si="52"/>
        <v>1.3834312241715692E-4</v>
      </c>
      <c r="N120" s="76">
        <v>1.51</v>
      </c>
      <c r="O120" s="17">
        <v>0.19</v>
      </c>
      <c r="V120" s="56"/>
    </row>
    <row r="121" spans="2:22" ht="45" x14ac:dyDescent="0.25">
      <c r="B121" s="3" t="s">
        <v>347</v>
      </c>
      <c r="C121" s="3" t="s">
        <v>22</v>
      </c>
      <c r="D121" s="3">
        <v>93596</v>
      </c>
      <c r="E121" s="92" t="s">
        <v>333</v>
      </c>
      <c r="F121" s="3">
        <v>192.4</v>
      </c>
      <c r="G121" s="3" t="s">
        <v>331</v>
      </c>
      <c r="H121" s="17">
        <f t="shared" si="75"/>
        <v>0.75</v>
      </c>
      <c r="I121" s="17">
        <f t="shared" si="76"/>
        <v>0.09</v>
      </c>
      <c r="J121" s="17">
        <f t="shared" si="63"/>
        <v>144.30000000000001</v>
      </c>
      <c r="K121" s="17">
        <f t="shared" si="64"/>
        <v>17.32</v>
      </c>
      <c r="L121" s="17">
        <f t="shared" si="65"/>
        <v>161.62</v>
      </c>
      <c r="M121" s="78">
        <f t="shared" si="52"/>
        <v>1.3521417177709785E-4</v>
      </c>
      <c r="N121" s="76">
        <v>0.6</v>
      </c>
      <c r="O121" s="17">
        <v>7.0000000000000007E-2</v>
      </c>
      <c r="V121" s="56"/>
    </row>
    <row r="122" spans="2:22" x14ac:dyDescent="0.25">
      <c r="B122" s="102" t="s">
        <v>361</v>
      </c>
      <c r="C122" s="103"/>
      <c r="D122" s="103"/>
      <c r="E122" s="103" t="s">
        <v>101</v>
      </c>
      <c r="F122" s="103"/>
      <c r="G122" s="103"/>
      <c r="H122" s="103"/>
      <c r="I122" s="103"/>
      <c r="J122" s="1"/>
      <c r="K122" s="1"/>
      <c r="L122" s="2">
        <f>ROUND(SUM(L123:L124),2)</f>
        <v>1604.25</v>
      </c>
      <c r="M122" s="80">
        <f>SUM(M123:M124)</f>
        <v>1.342144134843517E-3</v>
      </c>
      <c r="N122" s="20"/>
      <c r="O122" s="20"/>
    </row>
    <row r="123" spans="2:22" ht="30" x14ac:dyDescent="0.25">
      <c r="B123" s="3" t="s">
        <v>362</v>
      </c>
      <c r="C123" s="3" t="s">
        <v>22</v>
      </c>
      <c r="D123" s="3">
        <v>89512</v>
      </c>
      <c r="E123" s="36" t="s">
        <v>241</v>
      </c>
      <c r="F123" s="3">
        <v>9</v>
      </c>
      <c r="G123" s="3" t="s">
        <v>89</v>
      </c>
      <c r="H123" s="17">
        <f>ROUND(N123*(1+L$5),2)</f>
        <v>42.15</v>
      </c>
      <c r="I123" s="17">
        <f>ROUND(O123*(1+L$5),2)</f>
        <v>20.72</v>
      </c>
      <c r="J123" s="17">
        <f>ROUND(H123*F123,2)</f>
        <v>379.35</v>
      </c>
      <c r="K123" s="17">
        <f>ROUND(F123*I123,2)</f>
        <v>186.48</v>
      </c>
      <c r="L123" s="17">
        <f>ROUND(J123+K123,2)</f>
        <v>565.83000000000004</v>
      </c>
      <c r="M123" s="78">
        <f>L123/L$143</f>
        <v>4.7338346007075408E-4</v>
      </c>
      <c r="N123" s="76">
        <v>33.93</v>
      </c>
      <c r="O123" s="17">
        <v>16.68</v>
      </c>
    </row>
    <row r="124" spans="2:22" ht="30" x14ac:dyDescent="0.25">
      <c r="B124" s="3" t="s">
        <v>363</v>
      </c>
      <c r="C124" s="3" t="s">
        <v>22</v>
      </c>
      <c r="D124" s="3">
        <v>90441</v>
      </c>
      <c r="E124" s="36" t="s">
        <v>253</v>
      </c>
      <c r="F124" s="3">
        <v>18</v>
      </c>
      <c r="G124" s="3" t="s">
        <v>3</v>
      </c>
      <c r="H124" s="17">
        <f>ROUND(N124*(1+L$5),2)</f>
        <v>10.83</v>
      </c>
      <c r="I124" s="17">
        <f>ROUND(O124*(1+L$5),2)</f>
        <v>46.86</v>
      </c>
      <c r="J124" s="17">
        <f>ROUND(H124*F124,2)</f>
        <v>194.94</v>
      </c>
      <c r="K124" s="17">
        <f>ROUND(F124*I124,2)</f>
        <v>843.48</v>
      </c>
      <c r="L124" s="17">
        <f>ROUND(J124+K124,2)</f>
        <v>1038.42</v>
      </c>
      <c r="M124" s="78">
        <f>L124/L$143</f>
        <v>8.6876067477276294E-4</v>
      </c>
      <c r="N124" s="76">
        <v>8.7200000000000006</v>
      </c>
      <c r="O124" s="17">
        <v>37.72</v>
      </c>
    </row>
    <row r="125" spans="2:22" x14ac:dyDescent="0.25">
      <c r="B125" s="104">
        <v>7</v>
      </c>
      <c r="C125" s="105"/>
      <c r="D125" s="105"/>
      <c r="E125" s="105" t="s">
        <v>243</v>
      </c>
      <c r="F125" s="105"/>
      <c r="G125" s="105"/>
      <c r="H125" s="105"/>
      <c r="I125" s="105"/>
      <c r="J125" s="34"/>
      <c r="K125" s="34"/>
      <c r="L125" s="31">
        <f>ROUND(L126,2)</f>
        <v>37026.720000000001</v>
      </c>
      <c r="M125" s="79">
        <f>L125/L143</f>
        <v>3.0977213701413837E-2</v>
      </c>
      <c r="N125" s="20"/>
      <c r="O125" s="20"/>
    </row>
    <row r="126" spans="2:22" x14ac:dyDescent="0.25">
      <c r="B126" s="102" t="s">
        <v>246</v>
      </c>
      <c r="C126" s="103"/>
      <c r="D126" s="103"/>
      <c r="E126" s="103" t="s">
        <v>244</v>
      </c>
      <c r="F126" s="103"/>
      <c r="G126" s="103"/>
      <c r="H126" s="103"/>
      <c r="I126" s="103"/>
      <c r="J126" s="1"/>
      <c r="K126" s="1"/>
      <c r="L126" s="2">
        <f>ROUND(SUM(L127),2)</f>
        <v>37026.720000000001</v>
      </c>
      <c r="M126" s="80">
        <f>SUM(M127)</f>
        <v>3.0977213701413837E-2</v>
      </c>
      <c r="N126" s="20"/>
      <c r="O126" s="20"/>
    </row>
    <row r="127" spans="2:22" ht="54.75" customHeight="1" x14ac:dyDescent="0.25">
      <c r="B127" s="3" t="s">
        <v>247</v>
      </c>
      <c r="C127" s="3" t="s">
        <v>22</v>
      </c>
      <c r="D127" s="3">
        <v>99839</v>
      </c>
      <c r="E127" s="36" t="s">
        <v>248</v>
      </c>
      <c r="F127" s="3">
        <v>72</v>
      </c>
      <c r="G127" s="3" t="s">
        <v>89</v>
      </c>
      <c r="H127" s="17">
        <f>ROUND(N127*(1+L$5),2)</f>
        <v>327.91</v>
      </c>
      <c r="I127" s="17">
        <f>ROUND(O127*(1+L$5),2)</f>
        <v>186.35</v>
      </c>
      <c r="J127" s="17">
        <f>ROUND(H127*F127,2)</f>
        <v>23609.52</v>
      </c>
      <c r="K127" s="17">
        <f>ROUND(F127*I127,2)</f>
        <v>13417.2</v>
      </c>
      <c r="L127" s="17">
        <f>ROUND(J127+K127,2)</f>
        <v>37026.720000000001</v>
      </c>
      <c r="M127" s="78">
        <f t="shared" ref="M127" si="77">L127/L$143</f>
        <v>3.0977213701413837E-2</v>
      </c>
      <c r="N127" s="76">
        <v>263.95</v>
      </c>
      <c r="O127" s="17">
        <v>150</v>
      </c>
    </row>
    <row r="128" spans="2:22" x14ac:dyDescent="0.25">
      <c r="B128" s="104">
        <v>8</v>
      </c>
      <c r="C128" s="105"/>
      <c r="D128" s="105"/>
      <c r="E128" s="105" t="s">
        <v>249</v>
      </c>
      <c r="F128" s="105"/>
      <c r="G128" s="105"/>
      <c r="H128" s="105"/>
      <c r="I128" s="105"/>
      <c r="J128" s="34"/>
      <c r="K128" s="34"/>
      <c r="L128" s="31">
        <f>ROUND(L129,2)</f>
        <v>4824.17</v>
      </c>
      <c r="M128" s="79">
        <f>L128/L143</f>
        <v>4.0359865800143674E-3</v>
      </c>
      <c r="N128" s="20"/>
      <c r="O128" s="20"/>
      <c r="Q128" s="56"/>
    </row>
    <row r="129" spans="2:21" x14ac:dyDescent="0.25">
      <c r="B129" s="102" t="s">
        <v>251</v>
      </c>
      <c r="C129" s="103"/>
      <c r="D129" s="103"/>
      <c r="E129" s="103" t="s">
        <v>250</v>
      </c>
      <c r="F129" s="103"/>
      <c r="G129" s="103"/>
      <c r="H129" s="103"/>
      <c r="I129" s="103"/>
      <c r="J129" s="1"/>
      <c r="K129" s="1"/>
      <c r="L129" s="2">
        <f>ROUND(SUM(L130:L134),2)</f>
        <v>4824.17</v>
      </c>
      <c r="M129" s="80">
        <f>SUM(M130:M134)</f>
        <v>4.0359865800143682E-3</v>
      </c>
      <c r="N129" s="20"/>
      <c r="O129" s="20"/>
      <c r="Q129" s="56"/>
    </row>
    <row r="130" spans="2:21" ht="30" x14ac:dyDescent="0.25">
      <c r="B130" s="3" t="s">
        <v>252</v>
      </c>
      <c r="C130" s="3" t="s">
        <v>148</v>
      </c>
      <c r="D130" s="3">
        <v>5213400</v>
      </c>
      <c r="E130" s="36" t="s">
        <v>254</v>
      </c>
      <c r="F130" s="3">
        <v>14.4</v>
      </c>
      <c r="G130" s="3" t="s">
        <v>81</v>
      </c>
      <c r="H130" s="17">
        <f>ROUND(N130*(1+L$5),2)</f>
        <v>28.78</v>
      </c>
      <c r="I130" s="17">
        <f>ROUND(O130*(1+L$5),2)</f>
        <v>3.3</v>
      </c>
      <c r="J130" s="17">
        <f>ROUND(H130*F130,2)</f>
        <v>414.43</v>
      </c>
      <c r="K130" s="17">
        <f>ROUND(F130*I130,2)</f>
        <v>47.52</v>
      </c>
      <c r="L130" s="17">
        <f>ROUND(J130+K130,2)</f>
        <v>461.95</v>
      </c>
      <c r="M130" s="78">
        <f t="shared" ref="M130:M134" si="78">L130/L$143</f>
        <v>3.8647560111638627E-4</v>
      </c>
      <c r="N130" s="76">
        <v>23.17</v>
      </c>
      <c r="O130" s="17">
        <v>2.66</v>
      </c>
      <c r="Q130" s="56"/>
    </row>
    <row r="131" spans="2:21" ht="30" x14ac:dyDescent="0.25">
      <c r="B131" s="3" t="s">
        <v>255</v>
      </c>
      <c r="C131" s="3" t="s">
        <v>148</v>
      </c>
      <c r="D131" s="3">
        <v>5213464</v>
      </c>
      <c r="E131" s="36" t="s">
        <v>271</v>
      </c>
      <c r="F131" s="3">
        <v>2</v>
      </c>
      <c r="G131" s="3" t="s">
        <v>3</v>
      </c>
      <c r="H131" s="17">
        <f>ROUND(N131*(1+L$5),2)</f>
        <v>240.32</v>
      </c>
      <c r="I131" s="17">
        <f>ROUND(O131*(1+L$5),2)</f>
        <v>64.790000000000006</v>
      </c>
      <c r="J131" s="17">
        <f>ROUND(H131*F131,2)</f>
        <v>480.64</v>
      </c>
      <c r="K131" s="17">
        <f>ROUND(F131*I131,2)</f>
        <v>129.58000000000001</v>
      </c>
      <c r="L131" s="17">
        <f>ROUND(J131+K131,2)</f>
        <v>610.22</v>
      </c>
      <c r="M131" s="78">
        <f t="shared" si="78"/>
        <v>5.1052092502054604E-4</v>
      </c>
      <c r="N131" s="76">
        <v>193.45</v>
      </c>
      <c r="O131" s="17">
        <v>52.15</v>
      </c>
      <c r="Q131" s="56"/>
    </row>
    <row r="132" spans="2:21" ht="30" x14ac:dyDescent="0.25">
      <c r="B132" s="3" t="s">
        <v>256</v>
      </c>
      <c r="C132" s="3" t="s">
        <v>148</v>
      </c>
      <c r="D132" s="3">
        <v>5213863</v>
      </c>
      <c r="E132" s="36" t="s">
        <v>272</v>
      </c>
      <c r="F132" s="3">
        <v>2</v>
      </c>
      <c r="G132" s="3" t="s">
        <v>3</v>
      </c>
      <c r="H132" s="17">
        <f>ROUND(N132*(1+L$5),2)</f>
        <v>496.22</v>
      </c>
      <c r="I132" s="17">
        <f>ROUND(O132*(1+L$5),2)</f>
        <v>40.93</v>
      </c>
      <c r="J132" s="17">
        <f>ROUND(H132*F132,2)</f>
        <v>992.44</v>
      </c>
      <c r="K132" s="17">
        <f>ROUND(F132*I132,2)</f>
        <v>81.86</v>
      </c>
      <c r="L132" s="17">
        <f>ROUND(J132+K132,2)</f>
        <v>1074.3</v>
      </c>
      <c r="M132" s="78">
        <f t="shared" si="78"/>
        <v>8.9877852208969313E-4</v>
      </c>
      <c r="N132" s="76">
        <v>399.44</v>
      </c>
      <c r="O132" s="17">
        <v>32.950000000000003</v>
      </c>
      <c r="Q132" s="56"/>
    </row>
    <row r="133" spans="2:21" ht="45" x14ac:dyDescent="0.25">
      <c r="B133" s="3" t="s">
        <v>270</v>
      </c>
      <c r="C133" s="3" t="s">
        <v>148</v>
      </c>
      <c r="D133" s="3">
        <v>5213466</v>
      </c>
      <c r="E133" s="54" t="s">
        <v>273</v>
      </c>
      <c r="F133" s="3">
        <v>2</v>
      </c>
      <c r="G133" s="3" t="s">
        <v>3</v>
      </c>
      <c r="H133" s="17">
        <f>ROUND(N133*(1+L$5),2)</f>
        <v>667.54</v>
      </c>
      <c r="I133" s="17">
        <f>ROUND(O133*(1+L$5),2)</f>
        <v>64.790000000000006</v>
      </c>
      <c r="J133" s="17">
        <f>ROUND(H133*F133,2)</f>
        <v>1335.08</v>
      </c>
      <c r="K133" s="17">
        <f>ROUND(F133*I133,2)</f>
        <v>129.58000000000001</v>
      </c>
      <c r="L133" s="17">
        <f>ROUND(J133+K133,2)</f>
        <v>1464.66</v>
      </c>
      <c r="M133" s="78">
        <f t="shared" si="78"/>
        <v>1.2253606536013126E-3</v>
      </c>
      <c r="N133" s="76">
        <v>537.34</v>
      </c>
      <c r="O133" s="17">
        <v>52.15</v>
      </c>
      <c r="Q133" s="56"/>
    </row>
    <row r="134" spans="2:21" ht="39" customHeight="1" x14ac:dyDescent="0.25">
      <c r="B134" s="3" t="s">
        <v>278</v>
      </c>
      <c r="C134" s="3" t="s">
        <v>148</v>
      </c>
      <c r="D134" s="3">
        <v>5213865</v>
      </c>
      <c r="E134" s="54" t="s">
        <v>274</v>
      </c>
      <c r="F134" s="3">
        <v>2</v>
      </c>
      <c r="G134" s="3" t="s">
        <v>3</v>
      </c>
      <c r="H134" s="17">
        <f>ROUND(N134*(1+L$5),2)</f>
        <v>561.17999999999995</v>
      </c>
      <c r="I134" s="17">
        <f>ROUND(O134*(1+L$5),2)</f>
        <v>45.34</v>
      </c>
      <c r="J134" s="17">
        <f>ROUND(H134*F134,2)</f>
        <v>1122.3599999999999</v>
      </c>
      <c r="K134" s="17">
        <f>ROUND(F134*I134,2)</f>
        <v>90.68</v>
      </c>
      <c r="L134" s="17">
        <f>ROUND(J134+K134,2)</f>
        <v>1213.04</v>
      </c>
      <c r="M134" s="78">
        <f t="shared" si="78"/>
        <v>1.0148508781864297E-3</v>
      </c>
      <c r="N134" s="76">
        <v>451.73</v>
      </c>
      <c r="O134" s="17">
        <v>36.5</v>
      </c>
      <c r="Q134" s="56"/>
    </row>
    <row r="135" spans="2:21" x14ac:dyDescent="0.25">
      <c r="B135" s="104">
        <v>9</v>
      </c>
      <c r="C135" s="105"/>
      <c r="D135" s="105"/>
      <c r="E135" s="105" t="s">
        <v>309</v>
      </c>
      <c r="F135" s="105"/>
      <c r="G135" s="105"/>
      <c r="H135" s="105"/>
      <c r="I135" s="105"/>
      <c r="J135" s="34"/>
      <c r="K135" s="34"/>
      <c r="L135" s="31">
        <f>ROUND(L138+L136,2)</f>
        <v>3839.43</v>
      </c>
      <c r="M135" s="79">
        <f>L135/L143</f>
        <v>3.2121355497224525E-3</v>
      </c>
      <c r="N135" s="20"/>
      <c r="O135" s="20"/>
    </row>
    <row r="136" spans="2:21" x14ac:dyDescent="0.25">
      <c r="B136" s="102" t="s">
        <v>257</v>
      </c>
      <c r="C136" s="103"/>
      <c r="D136" s="103"/>
      <c r="E136" s="103" t="s">
        <v>314</v>
      </c>
      <c r="F136" s="103"/>
      <c r="G136" s="103"/>
      <c r="H136" s="103"/>
      <c r="I136" s="103"/>
      <c r="J136" s="1"/>
      <c r="K136" s="1"/>
      <c r="L136" s="2">
        <f>ROUND(SUM(L137),2)</f>
        <v>1137.75</v>
      </c>
      <c r="M136" s="80">
        <f>SUM(M137)</f>
        <v>9.5186192265433154E-4</v>
      </c>
      <c r="N136" s="20"/>
      <c r="O136" s="20"/>
    </row>
    <row r="137" spans="2:21" x14ac:dyDescent="0.25">
      <c r="B137" s="3" t="s">
        <v>258</v>
      </c>
      <c r="C137" s="3" t="s">
        <v>20</v>
      </c>
      <c r="D137" s="3">
        <v>2</v>
      </c>
      <c r="E137" s="54" t="s">
        <v>313</v>
      </c>
      <c r="F137" s="3">
        <v>1</v>
      </c>
      <c r="G137" s="3" t="s">
        <v>3</v>
      </c>
      <c r="H137" s="17">
        <f>ROUND(N137*(1+L$5),2)</f>
        <v>1137.75</v>
      </c>
      <c r="I137" s="17">
        <f>ROUND(O137*(1+L$5),2)</f>
        <v>0</v>
      </c>
      <c r="J137" s="17">
        <f>ROUND(H137*F137,2)</f>
        <v>1137.75</v>
      </c>
      <c r="K137" s="17">
        <f>ROUND(F137*I137,2)</f>
        <v>0</v>
      </c>
      <c r="L137" s="17">
        <f>ROUND(J137+K137,2)</f>
        <v>1137.75</v>
      </c>
      <c r="M137" s="78">
        <f t="shared" ref="M137" si="79">L137/L$143</f>
        <v>9.5186192265433154E-4</v>
      </c>
      <c r="N137" s="99">
        <v>915.84</v>
      </c>
      <c r="O137" s="65"/>
    </row>
    <row r="138" spans="2:21" x14ac:dyDescent="0.25">
      <c r="B138" s="102" t="s">
        <v>310</v>
      </c>
      <c r="C138" s="103"/>
      <c r="D138" s="103"/>
      <c r="E138" s="103" t="s">
        <v>99</v>
      </c>
      <c r="F138" s="103"/>
      <c r="G138" s="103"/>
      <c r="H138" s="103"/>
      <c r="I138" s="103"/>
      <c r="J138" s="1"/>
      <c r="K138" s="1"/>
      <c r="L138" s="2">
        <f>ROUND(SUM(L139:L140),2)</f>
        <v>2701.68</v>
      </c>
      <c r="M138" s="80">
        <f>SUM(M139:M140)</f>
        <v>2.2602736270681211E-3</v>
      </c>
    </row>
    <row r="139" spans="2:21" x14ac:dyDescent="0.25">
      <c r="B139" s="3" t="s">
        <v>311</v>
      </c>
      <c r="C139" s="3" t="s">
        <v>22</v>
      </c>
      <c r="D139" s="3">
        <v>99814</v>
      </c>
      <c r="E139" s="54" t="s">
        <v>279</v>
      </c>
      <c r="F139" s="3">
        <v>216</v>
      </c>
      <c r="G139" s="3" t="s">
        <v>81</v>
      </c>
      <c r="H139" s="17">
        <f>ROUND(N139*(1+L$5),2)</f>
        <v>0.62</v>
      </c>
      <c r="I139" s="17">
        <f>ROUND(O139*(1+L$5),2)</f>
        <v>1.61</v>
      </c>
      <c r="J139" s="17">
        <f>ROUND(H139*F139,2)</f>
        <v>133.91999999999999</v>
      </c>
      <c r="K139" s="17">
        <f>ROUND(F139*I139,2)</f>
        <v>347.76</v>
      </c>
      <c r="L139" s="17">
        <f>ROUND(J139+K139,2)</f>
        <v>481.68</v>
      </c>
      <c r="M139" s="78">
        <f t="shared" ref="M139:M140" si="80">L139/L$143</f>
        <v>4.0298207066942514E-4</v>
      </c>
      <c r="N139" s="76">
        <v>0.5</v>
      </c>
      <c r="O139" s="17">
        <v>1.3</v>
      </c>
    </row>
    <row r="140" spans="2:21" x14ac:dyDescent="0.25">
      <c r="B140" s="3" t="s">
        <v>312</v>
      </c>
      <c r="C140" s="3" t="s">
        <v>20</v>
      </c>
      <c r="D140" s="3">
        <v>10</v>
      </c>
      <c r="E140" s="36" t="s">
        <v>99</v>
      </c>
      <c r="F140" s="3">
        <v>1000</v>
      </c>
      <c r="G140" s="3" t="s">
        <v>81</v>
      </c>
      <c r="H140" s="17">
        <f>ROUND(N140*(1+L$5),2)</f>
        <v>0</v>
      </c>
      <c r="I140" s="17">
        <f>ROUND(O140*(1+L$5),2)</f>
        <v>2.2200000000000002</v>
      </c>
      <c r="J140" s="17">
        <f>ROUND(H140*F140,2)</f>
        <v>0</v>
      </c>
      <c r="K140" s="17">
        <f>ROUND(F140*I140,2)</f>
        <v>2220</v>
      </c>
      <c r="L140" s="17">
        <f>ROUND(J140+K140,2)</f>
        <v>2220</v>
      </c>
      <c r="M140" s="78">
        <f t="shared" si="80"/>
        <v>1.8572915563986958E-3</v>
      </c>
      <c r="N140" s="76"/>
      <c r="O140" s="17">
        <v>1.79</v>
      </c>
      <c r="R140" s="94"/>
      <c r="S140" s="94"/>
      <c r="T140" s="94"/>
      <c r="U140" s="94"/>
    </row>
    <row r="141" spans="2:21" x14ac:dyDescent="0.25">
      <c r="B141" s="46"/>
      <c r="C141" s="47"/>
      <c r="D141" s="47"/>
      <c r="E141" s="47"/>
      <c r="F141" s="47"/>
      <c r="G141" s="47"/>
      <c r="H141" s="47"/>
      <c r="I141" s="47"/>
      <c r="J141" s="47"/>
      <c r="K141" s="66" t="s">
        <v>364</v>
      </c>
      <c r="L141" s="32">
        <f>SUM(J10:J140)</f>
        <v>996912.86999999976</v>
      </c>
      <c r="M141" s="81">
        <f>L141/L143</f>
        <v>0.83403507023251811</v>
      </c>
      <c r="R141" s="94"/>
      <c r="S141" s="95"/>
      <c r="T141" s="94"/>
      <c r="U141" s="94"/>
    </row>
    <row r="142" spans="2:21" x14ac:dyDescent="0.25">
      <c r="B142" s="48"/>
      <c r="C142" s="49"/>
      <c r="D142" s="49"/>
      <c r="E142" s="49"/>
      <c r="F142" s="49"/>
      <c r="G142" s="49"/>
      <c r="H142" s="49"/>
      <c r="I142" s="49"/>
      <c r="J142" s="49"/>
      <c r="K142" s="66" t="s">
        <v>11</v>
      </c>
      <c r="L142" s="32">
        <f>SUM(K10:K140)</f>
        <v>198376.03999999986</v>
      </c>
      <c r="M142" s="82">
        <f>L142/L143</f>
        <v>0.16596492976748184</v>
      </c>
      <c r="R142" s="96"/>
      <c r="S142" s="97"/>
      <c r="T142" s="94"/>
      <c r="U142" s="94"/>
    </row>
    <row r="143" spans="2:21" x14ac:dyDescent="0.25">
      <c r="B143" s="50"/>
      <c r="C143" s="51"/>
      <c r="D143" s="51"/>
      <c r="E143" s="51"/>
      <c r="F143" s="51"/>
      <c r="G143" s="51"/>
      <c r="H143" s="51"/>
      <c r="I143" s="51"/>
      <c r="J143" s="51"/>
      <c r="K143" s="66" t="s">
        <v>102</v>
      </c>
      <c r="L143" s="33">
        <f>SUM(L141+L142)</f>
        <v>1195288.9099999997</v>
      </c>
      <c r="M143" s="81">
        <f>M141+M142</f>
        <v>1</v>
      </c>
      <c r="R143" s="96"/>
      <c r="S143" s="97"/>
      <c r="T143" s="94"/>
      <c r="U143" s="94"/>
    </row>
    <row r="144" spans="2:21" ht="31.9" customHeight="1" x14ac:dyDescent="0.25"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67"/>
      <c r="N144" s="4"/>
      <c r="R144" s="96"/>
      <c r="S144" s="97"/>
      <c r="T144" s="94"/>
      <c r="U144" s="94"/>
    </row>
    <row r="145" spans="2:23" ht="31.9" customHeight="1" x14ac:dyDescent="0.25"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67"/>
      <c r="N145" s="4"/>
      <c r="O145" s="22"/>
      <c r="P145" s="4"/>
      <c r="R145" s="96"/>
      <c r="S145" s="97"/>
      <c r="T145" s="94"/>
      <c r="U145" s="94"/>
    </row>
    <row r="146" spans="2:23" ht="13.9" customHeight="1" x14ac:dyDescent="0.25">
      <c r="B146" s="53"/>
      <c r="C146" s="53"/>
      <c r="D146" s="53"/>
      <c r="E146" s="68"/>
      <c r="F146" s="68"/>
      <c r="G146" s="68"/>
      <c r="H146" s="68"/>
      <c r="I146" s="68"/>
      <c r="J146" s="68"/>
      <c r="K146" s="69"/>
      <c r="L146" s="70"/>
      <c r="P146" s="4"/>
      <c r="R146" s="96"/>
      <c r="S146" s="97"/>
      <c r="T146" s="94"/>
      <c r="U146" s="94"/>
    </row>
    <row r="147" spans="2:23" ht="13.9" customHeight="1" x14ac:dyDescent="0.25">
      <c r="B147" s="53"/>
      <c r="C147" s="53"/>
      <c r="D147" s="53"/>
      <c r="E147" s="68"/>
      <c r="F147" s="68"/>
      <c r="G147" s="68"/>
      <c r="H147" s="68"/>
      <c r="I147" s="68"/>
      <c r="J147" s="68"/>
      <c r="K147" s="69"/>
      <c r="L147" s="70"/>
      <c r="O147" s="22"/>
      <c r="P147" s="4"/>
      <c r="Q147" s="22">
        <f>L143/(6*36)</f>
        <v>5533.7449537037019</v>
      </c>
      <c r="R147" s="96"/>
      <c r="S147" s="97"/>
      <c r="T147" s="94"/>
      <c r="U147" s="94"/>
    </row>
    <row r="148" spans="2:23" x14ac:dyDescent="0.25">
      <c r="B148" s="53"/>
      <c r="C148" s="53"/>
      <c r="D148" s="53"/>
      <c r="E148" s="68"/>
      <c r="F148" s="68"/>
      <c r="G148" s="68"/>
      <c r="H148" s="68"/>
      <c r="I148" s="68"/>
      <c r="J148" s="68"/>
      <c r="K148" s="69"/>
      <c r="L148" s="70"/>
      <c r="N148" s="4"/>
      <c r="R148" s="96"/>
      <c r="S148" s="97"/>
      <c r="T148" s="94"/>
      <c r="U148" s="94"/>
      <c r="V148" s="4"/>
      <c r="W148" s="8"/>
    </row>
    <row r="149" spans="2:23" x14ac:dyDescent="0.25"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O149" s="22"/>
      <c r="R149" s="96"/>
      <c r="S149" s="97"/>
      <c r="T149" s="94"/>
      <c r="U149" s="94"/>
    </row>
    <row r="150" spans="2:23" x14ac:dyDescent="0.25">
      <c r="E150" s="25" t="s">
        <v>319</v>
      </c>
      <c r="F150" s="106" t="s">
        <v>259</v>
      </c>
      <c r="G150" s="106"/>
      <c r="H150" s="106"/>
      <c r="I150" s="106"/>
      <c r="J150" s="106"/>
      <c r="R150" s="96"/>
      <c r="S150" s="97"/>
      <c r="T150" s="94"/>
      <c r="U150" s="94"/>
      <c r="V150" s="9"/>
    </row>
    <row r="151" spans="2:23" x14ac:dyDescent="0.25">
      <c r="E151" s="26" t="s">
        <v>320</v>
      </c>
      <c r="F151" s="107" t="s">
        <v>53</v>
      </c>
      <c r="G151" s="107"/>
      <c r="H151" s="107"/>
      <c r="I151" s="107"/>
      <c r="J151" s="107"/>
      <c r="R151" s="96"/>
      <c r="S151" s="97"/>
      <c r="T151" s="94"/>
      <c r="U151" s="94"/>
    </row>
    <row r="152" spans="2:23" x14ac:dyDescent="0.25">
      <c r="R152" s="96"/>
      <c r="S152" s="97"/>
      <c r="T152" s="94"/>
      <c r="U152" s="94"/>
      <c r="V152" s="10"/>
    </row>
    <row r="153" spans="2:23" x14ac:dyDescent="0.25">
      <c r="R153" s="96"/>
      <c r="S153" s="97"/>
      <c r="T153" s="94"/>
      <c r="U153" s="94"/>
    </row>
    <row r="154" spans="2:23" x14ac:dyDescent="0.25">
      <c r="I154" s="4"/>
      <c r="J154" s="8"/>
      <c r="R154" s="96"/>
      <c r="S154" s="97"/>
      <c r="T154" s="94"/>
      <c r="U154" s="94"/>
    </row>
    <row r="155" spans="2:23" x14ac:dyDescent="0.25">
      <c r="I155" s="4"/>
      <c r="R155" s="96"/>
      <c r="S155" s="97"/>
      <c r="T155" s="94"/>
      <c r="U155" s="94"/>
    </row>
    <row r="156" spans="2:23" x14ac:dyDescent="0.25">
      <c r="R156" s="94"/>
      <c r="S156" s="94"/>
      <c r="T156" s="94"/>
      <c r="U156" s="94"/>
    </row>
    <row r="157" spans="2:23" x14ac:dyDescent="0.25">
      <c r="I157" s="9"/>
      <c r="R157" s="94"/>
      <c r="S157" s="94"/>
      <c r="T157" s="94"/>
      <c r="U157" s="94"/>
    </row>
    <row r="158" spans="2:23" x14ac:dyDescent="0.25">
      <c r="I158" s="10"/>
      <c r="R158" s="94"/>
      <c r="S158" s="94"/>
      <c r="T158" s="94"/>
      <c r="U158" s="94"/>
    </row>
    <row r="159" spans="2:23" x14ac:dyDescent="0.25">
      <c r="R159" s="94"/>
      <c r="S159" s="94"/>
      <c r="T159" s="94"/>
      <c r="U159" s="94"/>
    </row>
    <row r="160" spans="2:23" x14ac:dyDescent="0.25">
      <c r="I160" s="10"/>
      <c r="R160" s="94"/>
      <c r="S160" s="94"/>
      <c r="T160" s="94"/>
      <c r="U160" s="94"/>
    </row>
  </sheetData>
  <mergeCells count="73">
    <mergeCell ref="L5:M5"/>
    <mergeCell ref="L4:M4"/>
    <mergeCell ref="L2:M3"/>
    <mergeCell ref="M6:M7"/>
    <mergeCell ref="B1:M1"/>
    <mergeCell ref="F2:K3"/>
    <mergeCell ref="B7:K7"/>
    <mergeCell ref="G5:G6"/>
    <mergeCell ref="B16:D16"/>
    <mergeCell ref="E16:I16"/>
    <mergeCell ref="B122:D122"/>
    <mergeCell ref="E122:I122"/>
    <mergeCell ref="B27:D27"/>
    <mergeCell ref="E27:I27"/>
    <mergeCell ref="B34:D34"/>
    <mergeCell ref="E34:I34"/>
    <mergeCell ref="B46:D46"/>
    <mergeCell ref="E46:I46"/>
    <mergeCell ref="B114:D114"/>
    <mergeCell ref="E114:I114"/>
    <mergeCell ref="B75:D75"/>
    <mergeCell ref="E75:I75"/>
    <mergeCell ref="B76:D76"/>
    <mergeCell ref="E76:I76"/>
    <mergeCell ref="B13:D13"/>
    <mergeCell ref="E13:I13"/>
    <mergeCell ref="B8:D8"/>
    <mergeCell ref="E8:I8"/>
    <mergeCell ref="B9:D9"/>
    <mergeCell ref="E9:I9"/>
    <mergeCell ref="F150:J150"/>
    <mergeCell ref="F151:J151"/>
    <mergeCell ref="B2:D2"/>
    <mergeCell ref="B3:D3"/>
    <mergeCell ref="B12:D12"/>
    <mergeCell ref="E12:I12"/>
    <mergeCell ref="B4:D5"/>
    <mergeCell ref="E4:E5"/>
    <mergeCell ref="F5:F6"/>
    <mergeCell ref="H5:I5"/>
    <mergeCell ref="F4:I4"/>
    <mergeCell ref="J5:K5"/>
    <mergeCell ref="B103:D103"/>
    <mergeCell ref="J4:K4"/>
    <mergeCell ref="E103:I103"/>
    <mergeCell ref="E47:I47"/>
    <mergeCell ref="B95:D95"/>
    <mergeCell ref="E95:I95"/>
    <mergeCell ref="B21:D21"/>
    <mergeCell ref="E21:I21"/>
    <mergeCell ref="B22:D22"/>
    <mergeCell ref="E22:I22"/>
    <mergeCell ref="B28:D28"/>
    <mergeCell ref="E28:I28"/>
    <mergeCell ref="B47:D47"/>
    <mergeCell ref="B66:D66"/>
    <mergeCell ref="E66:I66"/>
    <mergeCell ref="B58:D58"/>
    <mergeCell ref="E58:I58"/>
    <mergeCell ref="B125:D125"/>
    <mergeCell ref="E125:I125"/>
    <mergeCell ref="B126:D126"/>
    <mergeCell ref="E126:I126"/>
    <mergeCell ref="B128:D128"/>
    <mergeCell ref="E128:I128"/>
    <mergeCell ref="B136:D136"/>
    <mergeCell ref="E136:I136"/>
    <mergeCell ref="B129:D129"/>
    <mergeCell ref="E129:I129"/>
    <mergeCell ref="B138:D138"/>
    <mergeCell ref="E138:I138"/>
    <mergeCell ref="B135:D135"/>
    <mergeCell ref="E135:I135"/>
  </mergeCells>
  <pageMargins left="0.7" right="0.7" top="0.75" bottom="0.75" header="0.3" footer="0.3"/>
  <pageSetup paperSize="9" scale="52" orientation="landscape" r:id="rId1"/>
  <ignoredErrors>
    <ignoredError sqref="L13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6"/>
  <sheetViews>
    <sheetView tabSelected="1" view="pageBreakPreview" zoomScaleNormal="100" zoomScaleSheetLayoutView="100" workbookViewId="0">
      <selection activeCell="S15" sqref="S15"/>
    </sheetView>
  </sheetViews>
  <sheetFormatPr defaultRowHeight="15" x14ac:dyDescent="0.25"/>
  <cols>
    <col min="1" max="1" width="5.140625" customWidth="1"/>
    <col min="5" max="5" width="27.5703125" customWidth="1"/>
    <col min="6" max="6" width="23.28515625" customWidth="1"/>
    <col min="7" max="7" width="7" customWidth="1"/>
    <col min="8" max="8" width="28" customWidth="1"/>
    <col min="9" max="9" width="7.140625" customWidth="1"/>
    <col min="10" max="10" width="19.42578125" customWidth="1"/>
    <col min="11" max="11" width="7.42578125" customWidth="1"/>
    <col min="12" max="12" width="18" customWidth="1"/>
    <col min="13" max="13" width="10" customWidth="1"/>
    <col min="15" max="15" width="15.85546875" bestFit="1" customWidth="1"/>
    <col min="17" max="17" width="13.28515625" bestFit="1" customWidth="1"/>
  </cols>
  <sheetData>
    <row r="1" spans="2:17" ht="56.45" customHeight="1" thickBot="1" x14ac:dyDescent="0.3">
      <c r="B1" s="116" t="s">
        <v>318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8"/>
    </row>
    <row r="2" spans="2:17" x14ac:dyDescent="0.25">
      <c r="B2" s="122" t="s">
        <v>9</v>
      </c>
      <c r="C2" s="122"/>
      <c r="D2" s="122"/>
      <c r="E2" s="122"/>
      <c r="F2" s="122" t="s">
        <v>33</v>
      </c>
      <c r="G2" s="122"/>
      <c r="H2" s="122"/>
      <c r="I2" s="122"/>
      <c r="J2" s="122"/>
      <c r="K2" s="122"/>
      <c r="L2" s="122"/>
      <c r="M2" s="122"/>
    </row>
    <row r="3" spans="2:17" x14ac:dyDescent="0.25">
      <c r="B3" s="121"/>
      <c r="C3" s="121"/>
      <c r="D3" s="121"/>
      <c r="E3" s="121"/>
      <c r="F3" s="121" t="s">
        <v>34</v>
      </c>
      <c r="G3" s="121"/>
      <c r="H3" s="121" t="s">
        <v>103</v>
      </c>
      <c r="I3" s="121"/>
      <c r="J3" s="121" t="s">
        <v>316</v>
      </c>
      <c r="K3" s="121"/>
      <c r="L3" s="121" t="s">
        <v>317</v>
      </c>
      <c r="M3" s="121"/>
    </row>
    <row r="4" spans="2:17" x14ac:dyDescent="0.25">
      <c r="B4" s="123" t="str">
        <f>ORÇAMENTO!E8</f>
        <v>ADMINISTRAÇÃO LOCAL E MOBILIZAÇÃO DE EQUIPAMENTOS</v>
      </c>
      <c r="C4" s="123"/>
      <c r="D4" s="123"/>
      <c r="E4" s="123"/>
      <c r="F4" s="12">
        <f>G4*O4</f>
        <v>18154.4375</v>
      </c>
      <c r="G4" s="11">
        <v>0.25</v>
      </c>
      <c r="H4" s="17">
        <f>I4*O4</f>
        <v>18154.4375</v>
      </c>
      <c r="I4" s="11">
        <v>0.25</v>
      </c>
      <c r="J4" s="17">
        <f>K4*O4</f>
        <v>18154.4375</v>
      </c>
      <c r="K4" s="11">
        <v>0.25</v>
      </c>
      <c r="L4" s="17">
        <f>M4*O4</f>
        <v>18154.4375</v>
      </c>
      <c r="M4" s="11">
        <v>0.25</v>
      </c>
      <c r="O4" s="4">
        <f>ORÇAMENTO!L8</f>
        <v>72617.75</v>
      </c>
      <c r="Q4" s="4"/>
    </row>
    <row r="5" spans="2:17" x14ac:dyDescent="0.25">
      <c r="B5" s="123" t="str">
        <f>ORÇAMENTO!E12</f>
        <v>SERVIÇOS PRELIMINARES</v>
      </c>
      <c r="C5" s="123"/>
      <c r="D5" s="123"/>
      <c r="E5" s="123"/>
      <c r="F5" s="17">
        <f>G5*O5</f>
        <v>9291.24</v>
      </c>
      <c r="G5" s="11">
        <v>1</v>
      </c>
      <c r="H5" s="12">
        <v>0</v>
      </c>
      <c r="I5" s="11">
        <v>0</v>
      </c>
      <c r="J5" s="12">
        <v>0</v>
      </c>
      <c r="K5" s="11">
        <v>0</v>
      </c>
      <c r="L5" s="12">
        <v>0</v>
      </c>
      <c r="M5" s="11">
        <v>0</v>
      </c>
      <c r="O5" s="4">
        <f>ORÇAMENTO!L12</f>
        <v>9291.24</v>
      </c>
    </row>
    <row r="6" spans="2:17" x14ac:dyDescent="0.25">
      <c r="B6" s="123" t="str">
        <f>ORÇAMENTO!E21</f>
        <v>CANTEIRO DE OBRAS</v>
      </c>
      <c r="C6" s="123"/>
      <c r="D6" s="123"/>
      <c r="E6" s="123"/>
      <c r="F6" s="12">
        <f>G6*O6</f>
        <v>19401.845000000001</v>
      </c>
      <c r="G6" s="11">
        <v>0.25</v>
      </c>
      <c r="H6" s="12">
        <f>I6*O6</f>
        <v>19401.845000000001</v>
      </c>
      <c r="I6" s="11">
        <v>0.25</v>
      </c>
      <c r="J6" s="12">
        <f>K6*O6</f>
        <v>19401.845000000001</v>
      </c>
      <c r="K6" s="11">
        <v>0.25</v>
      </c>
      <c r="L6" s="12">
        <f>M6*O6</f>
        <v>19401.845000000001</v>
      </c>
      <c r="M6" s="11">
        <v>0.25</v>
      </c>
      <c r="O6" s="4">
        <f>ORÇAMENTO!L21</f>
        <v>77607.38</v>
      </c>
      <c r="Q6" s="4"/>
    </row>
    <row r="7" spans="2:17" ht="12.6" customHeight="1" x14ac:dyDescent="0.25">
      <c r="B7" s="119" t="str">
        <f>ORÇAMENTO!E27</f>
        <v>INFRAESTRUTURA</v>
      </c>
      <c r="C7" s="119"/>
      <c r="D7" s="119"/>
      <c r="E7" s="119"/>
      <c r="F7" s="17">
        <f>G7*O7</f>
        <v>110710.39499999999</v>
      </c>
      <c r="G7" s="11">
        <v>0.75</v>
      </c>
      <c r="H7" s="12">
        <f>I7*O7</f>
        <v>36903.464999999997</v>
      </c>
      <c r="I7" s="11">
        <v>0.25</v>
      </c>
      <c r="J7" s="12">
        <v>0</v>
      </c>
      <c r="K7" s="11">
        <v>0</v>
      </c>
      <c r="L7" s="12">
        <v>0</v>
      </c>
      <c r="M7" s="11">
        <v>0</v>
      </c>
      <c r="O7" s="4">
        <f>ORÇAMENTO!L27</f>
        <v>147613.85999999999</v>
      </c>
    </row>
    <row r="8" spans="2:17" ht="12.6" customHeight="1" x14ac:dyDescent="0.25">
      <c r="B8" s="119" t="str">
        <f>ORÇAMENTO!E46</f>
        <v>MESOESTRUTURA</v>
      </c>
      <c r="C8" s="119"/>
      <c r="D8" s="119"/>
      <c r="E8" s="119"/>
      <c r="F8" s="17">
        <v>0</v>
      </c>
      <c r="G8" s="11">
        <v>0</v>
      </c>
      <c r="H8" s="12">
        <f>I8*O8</f>
        <v>197562.03</v>
      </c>
      <c r="I8" s="11">
        <v>0.5</v>
      </c>
      <c r="J8" s="12">
        <f>K8*O8</f>
        <v>197562.03</v>
      </c>
      <c r="K8" s="11">
        <v>0.5</v>
      </c>
      <c r="L8" s="12">
        <v>0</v>
      </c>
      <c r="M8" s="11">
        <v>0</v>
      </c>
      <c r="O8" s="4">
        <f>ORÇAMENTO!L46</f>
        <v>395124.06</v>
      </c>
    </row>
    <row r="9" spans="2:17" ht="12.6" customHeight="1" x14ac:dyDescent="0.25">
      <c r="B9" s="119" t="str">
        <f>ORÇAMENTO!E75</f>
        <v xml:space="preserve">SUPERESTRUTURA </v>
      </c>
      <c r="C9" s="119"/>
      <c r="D9" s="119"/>
      <c r="E9" s="119"/>
      <c r="F9" s="17">
        <v>0</v>
      </c>
      <c r="G9" s="11">
        <v>0</v>
      </c>
      <c r="H9" s="12">
        <f>I9*O9</f>
        <v>89468.86</v>
      </c>
      <c r="I9" s="11">
        <v>0.2</v>
      </c>
      <c r="J9" s="12">
        <f>K9*O9</f>
        <v>268406.57999999996</v>
      </c>
      <c r="K9" s="11">
        <v>0.6</v>
      </c>
      <c r="L9" s="12">
        <f>M9*O9</f>
        <v>89468.86</v>
      </c>
      <c r="M9" s="11">
        <v>0.2</v>
      </c>
      <c r="O9" s="4">
        <f>ORÇAMENTO!L75</f>
        <v>447344.3</v>
      </c>
    </row>
    <row r="10" spans="2:17" ht="12.6" customHeight="1" x14ac:dyDescent="0.25">
      <c r="B10" s="119" t="str">
        <f>ORÇAMENTO!E125</f>
        <v>GUARDA CORPO</v>
      </c>
      <c r="C10" s="119"/>
      <c r="D10" s="119"/>
      <c r="E10" s="119"/>
      <c r="F10" s="17">
        <v>0</v>
      </c>
      <c r="G10" s="11">
        <v>0</v>
      </c>
      <c r="H10" s="12">
        <v>0</v>
      </c>
      <c r="I10" s="11">
        <v>0</v>
      </c>
      <c r="J10" s="12">
        <v>0</v>
      </c>
      <c r="K10" s="11">
        <v>0</v>
      </c>
      <c r="L10" s="12">
        <f>M10*O10</f>
        <v>37026.720000000001</v>
      </c>
      <c r="M10" s="11">
        <v>1</v>
      </c>
      <c r="O10" s="4">
        <f>ORÇAMENTO!L125</f>
        <v>37026.720000000001</v>
      </c>
    </row>
    <row r="11" spans="2:17" ht="12.6" customHeight="1" x14ac:dyDescent="0.25">
      <c r="B11" s="119" t="str">
        <f>ORÇAMENTO!E128</f>
        <v xml:space="preserve">SINALIZAÇÃO </v>
      </c>
      <c r="C11" s="119"/>
      <c r="D11" s="119"/>
      <c r="E11" s="119"/>
      <c r="F11" s="17">
        <v>0</v>
      </c>
      <c r="G11" s="11">
        <v>0</v>
      </c>
      <c r="H11" s="12">
        <v>0</v>
      </c>
      <c r="I11" s="11">
        <v>0</v>
      </c>
      <c r="J11" s="12">
        <v>0</v>
      </c>
      <c r="K11" s="11">
        <v>0</v>
      </c>
      <c r="L11" s="12">
        <f>M11*O11</f>
        <v>4824.17</v>
      </c>
      <c r="M11" s="11">
        <v>1</v>
      </c>
      <c r="O11" s="4">
        <f>ORÇAMENTO!L128</f>
        <v>4824.17</v>
      </c>
    </row>
    <row r="12" spans="2:17" ht="12.6" customHeight="1" thickBot="1" x14ac:dyDescent="0.3">
      <c r="B12" s="120" t="str">
        <f>ORÇAMENTO!E135</f>
        <v>SERVIÇOS FINAIS</v>
      </c>
      <c r="C12" s="120"/>
      <c r="D12" s="120"/>
      <c r="E12" s="120"/>
      <c r="F12" s="87">
        <v>0</v>
      </c>
      <c r="G12" s="88">
        <v>0</v>
      </c>
      <c r="H12" s="89">
        <v>0</v>
      </c>
      <c r="I12" s="88">
        <v>0</v>
      </c>
      <c r="J12" s="89">
        <v>0</v>
      </c>
      <c r="K12" s="88">
        <v>0</v>
      </c>
      <c r="L12" s="89">
        <f>M12*O12</f>
        <v>3839.43</v>
      </c>
      <c r="M12" s="88">
        <v>1</v>
      </c>
      <c r="O12" s="4">
        <f>ORÇAMENTO!L135</f>
        <v>3839.43</v>
      </c>
    </row>
    <row r="13" spans="2:17" x14ac:dyDescent="0.25">
      <c r="B13" s="128" t="s">
        <v>36</v>
      </c>
      <c r="C13" s="129"/>
      <c r="D13" s="129"/>
      <c r="E13" s="129"/>
      <c r="F13" s="13">
        <f>SUM(F4:F12)</f>
        <v>157557.91749999998</v>
      </c>
      <c r="G13" s="14">
        <f>F13/O14</f>
        <v>0.1318157611786091</v>
      </c>
      <c r="H13" s="13">
        <f>SUM(H4:H12)</f>
        <v>361490.63749999995</v>
      </c>
      <c r="I13" s="14">
        <f>H13/O14</f>
        <v>0.30242950844411332</v>
      </c>
      <c r="J13" s="13">
        <f>SUM(J4:J12)</f>
        <v>503524.89249999996</v>
      </c>
      <c r="K13" s="14">
        <f>J13/O14</f>
        <v>0.42125789697153637</v>
      </c>
      <c r="L13" s="13">
        <f>SUM(L4:L12)</f>
        <v>172715.46249999999</v>
      </c>
      <c r="M13" s="90">
        <f>L13/O14</f>
        <v>0.14449683340574121</v>
      </c>
    </row>
    <row r="14" spans="2:17" ht="15.75" thickBot="1" x14ac:dyDescent="0.3">
      <c r="B14" s="126" t="s">
        <v>37</v>
      </c>
      <c r="C14" s="127"/>
      <c r="D14" s="127"/>
      <c r="E14" s="127"/>
      <c r="F14" s="15">
        <f>F13</f>
        <v>157557.91749999998</v>
      </c>
      <c r="G14" s="16">
        <f>G13</f>
        <v>0.1318157611786091</v>
      </c>
      <c r="H14" s="15">
        <f t="shared" ref="H14:M14" si="0">H13+F14</f>
        <v>519048.55499999993</v>
      </c>
      <c r="I14" s="16">
        <f t="shared" si="0"/>
        <v>0.43424526962272242</v>
      </c>
      <c r="J14" s="15">
        <f t="shared" si="0"/>
        <v>1022573.4474999999</v>
      </c>
      <c r="K14" s="16">
        <f t="shared" si="0"/>
        <v>0.85550316659425873</v>
      </c>
      <c r="L14" s="15">
        <f t="shared" si="0"/>
        <v>1195288.9099999999</v>
      </c>
      <c r="M14" s="91">
        <f t="shared" si="0"/>
        <v>1</v>
      </c>
      <c r="O14" s="4">
        <f>SUM(O4:O12)</f>
        <v>1195288.9099999999</v>
      </c>
    </row>
    <row r="15" spans="2:17" x14ac:dyDescent="0.25">
      <c r="B15" s="7"/>
      <c r="C15" s="7"/>
      <c r="D15" s="7"/>
      <c r="E15" s="7"/>
      <c r="F15" s="7"/>
      <c r="G15" s="7"/>
      <c r="H15" s="7"/>
      <c r="I15" s="7"/>
    </row>
    <row r="16" spans="2:17" x14ac:dyDescent="0.25"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</row>
    <row r="17" spans="2:13" x14ac:dyDescent="0.25">
      <c r="K17" s="4"/>
    </row>
    <row r="21" spans="2:13" x14ac:dyDescent="0.25">
      <c r="B21" s="124" t="str">
        <f>ORÇAMENTO!E150</f>
        <v>DALTRO VANSO</v>
      </c>
      <c r="C21" s="124"/>
      <c r="D21" s="124"/>
      <c r="E21" s="124"/>
      <c r="F21" s="124"/>
      <c r="G21" s="124"/>
      <c r="H21" s="124"/>
      <c r="I21" s="124"/>
      <c r="J21" s="124"/>
      <c r="K21" s="124"/>
      <c r="L21" s="124"/>
      <c r="M21" s="124"/>
    </row>
    <row r="22" spans="2:13" x14ac:dyDescent="0.25">
      <c r="B22" s="130" t="str">
        <f>ORÇAMENTO!E151</f>
        <v xml:space="preserve">ENGENHEIRO CIVIL 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</row>
    <row r="25" spans="2:13" x14ac:dyDescent="0.25">
      <c r="F25" s="124"/>
      <c r="G25" s="124"/>
      <c r="H25" s="124"/>
      <c r="I25" s="124"/>
      <c r="J25" s="124"/>
    </row>
    <row r="26" spans="2:13" x14ac:dyDescent="0.25">
      <c r="F26" s="125"/>
      <c r="G26" s="125"/>
      <c r="H26" s="125"/>
      <c r="I26" s="125"/>
      <c r="J26" s="125"/>
    </row>
  </sheetData>
  <mergeCells count="24">
    <mergeCell ref="F25:H25"/>
    <mergeCell ref="I25:J25"/>
    <mergeCell ref="F26:H26"/>
    <mergeCell ref="I26:J26"/>
    <mergeCell ref="B6:E6"/>
    <mergeCell ref="B14:E14"/>
    <mergeCell ref="B13:E13"/>
    <mergeCell ref="B8:E8"/>
    <mergeCell ref="B21:M21"/>
    <mergeCell ref="B22:M22"/>
    <mergeCell ref="B1:M1"/>
    <mergeCell ref="B9:E9"/>
    <mergeCell ref="B10:E10"/>
    <mergeCell ref="B11:E11"/>
    <mergeCell ref="B12:E12"/>
    <mergeCell ref="J3:K3"/>
    <mergeCell ref="L3:M3"/>
    <mergeCell ref="F2:M2"/>
    <mergeCell ref="B4:E4"/>
    <mergeCell ref="B5:E5"/>
    <mergeCell ref="B7:E7"/>
    <mergeCell ref="B2:E3"/>
    <mergeCell ref="F3:G3"/>
    <mergeCell ref="H3:I3"/>
  </mergeCells>
  <pageMargins left="0.511811024" right="0.511811024" top="0.78740157499999996" bottom="0.78740157499999996" header="0.31496062000000002" footer="0.31496062000000002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7"/>
  <sheetViews>
    <sheetView view="pageBreakPreview" topLeftCell="A31" zoomScale="90" zoomScaleNormal="100" zoomScaleSheetLayoutView="90" workbookViewId="0">
      <selection activeCell="Q47" sqref="Q47"/>
    </sheetView>
  </sheetViews>
  <sheetFormatPr defaultRowHeight="15" x14ac:dyDescent="0.25"/>
  <cols>
    <col min="1" max="1" width="5.28515625" customWidth="1"/>
    <col min="2" max="2" width="11.5703125" customWidth="1"/>
    <col min="3" max="3" width="9.5703125" customWidth="1"/>
    <col min="8" max="8" width="22.140625" customWidth="1"/>
    <col min="11" max="11" width="13.28515625" customWidth="1"/>
    <col min="12" max="12" width="17.28515625" customWidth="1"/>
    <col min="13" max="13" width="4.140625" customWidth="1"/>
    <col min="14" max="14" width="11.140625" bestFit="1" customWidth="1"/>
    <col min="15" max="16" width="12.7109375" bestFit="1" customWidth="1"/>
    <col min="17" max="17" width="11.140625" bestFit="1" customWidth="1"/>
    <col min="18" max="18" width="12.7109375" bestFit="1" customWidth="1"/>
    <col min="20" max="20" width="10.28515625" bestFit="1" customWidth="1"/>
  </cols>
  <sheetData>
    <row r="1" spans="2:16" ht="43.5" customHeight="1" thickBot="1" x14ac:dyDescent="0.3">
      <c r="B1" s="143" t="s">
        <v>58</v>
      </c>
      <c r="C1" s="144"/>
      <c r="D1" s="144"/>
      <c r="E1" s="144"/>
      <c r="F1" s="144"/>
      <c r="G1" s="144"/>
      <c r="H1" s="144"/>
      <c r="I1" s="144"/>
      <c r="J1" s="144"/>
      <c r="K1" s="144"/>
      <c r="L1" s="145"/>
    </row>
    <row r="2" spans="2:16" x14ac:dyDescent="0.25"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2:16" ht="15.75" thickBot="1" x14ac:dyDescent="0.3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2:16" ht="15.75" thickBot="1" x14ac:dyDescent="0.3">
      <c r="B4" s="141" t="s">
        <v>51</v>
      </c>
      <c r="C4" s="142"/>
      <c r="D4" s="133" t="s">
        <v>68</v>
      </c>
      <c r="E4" s="133"/>
      <c r="F4" s="133"/>
      <c r="G4" s="133"/>
      <c r="H4" s="133"/>
      <c r="I4" s="133"/>
      <c r="J4" s="133"/>
      <c r="K4" s="133"/>
      <c r="L4" s="140"/>
    </row>
    <row r="5" spans="2:16" x14ac:dyDescent="0.25">
      <c r="B5" s="23" t="s">
        <v>40</v>
      </c>
      <c r="C5" s="23" t="s">
        <v>41</v>
      </c>
      <c r="D5" s="122" t="s">
        <v>9</v>
      </c>
      <c r="E5" s="122"/>
      <c r="F5" s="122"/>
      <c r="G5" s="122"/>
      <c r="H5" s="122"/>
      <c r="I5" s="23" t="s">
        <v>42</v>
      </c>
      <c r="J5" s="23" t="s">
        <v>3</v>
      </c>
      <c r="K5" s="23" t="s">
        <v>43</v>
      </c>
      <c r="L5" s="23" t="s">
        <v>44</v>
      </c>
    </row>
    <row r="6" spans="2:16" ht="31.9" customHeight="1" x14ac:dyDescent="0.25">
      <c r="B6" s="3" t="s">
        <v>45</v>
      </c>
      <c r="C6" s="3">
        <v>4813</v>
      </c>
      <c r="D6" s="136" t="s">
        <v>65</v>
      </c>
      <c r="E6" s="136"/>
      <c r="F6" s="136"/>
      <c r="G6" s="136"/>
      <c r="H6" s="136"/>
      <c r="I6" s="3">
        <v>2.88</v>
      </c>
      <c r="J6" s="3" t="s">
        <v>52</v>
      </c>
      <c r="K6" s="17">
        <v>250</v>
      </c>
      <c r="L6" s="17">
        <f t="shared" ref="L6:L11" si="0">ROUND(K6*I6,2)</f>
        <v>720</v>
      </c>
      <c r="P6" s="22"/>
    </row>
    <row r="7" spans="2:16" ht="28.9" customHeight="1" x14ac:dyDescent="0.25">
      <c r="B7" s="3" t="s">
        <v>45</v>
      </c>
      <c r="C7" s="3">
        <v>4509</v>
      </c>
      <c r="D7" s="137" t="s">
        <v>46</v>
      </c>
      <c r="E7" s="138"/>
      <c r="F7" s="138"/>
      <c r="G7" s="138"/>
      <c r="H7" s="139"/>
      <c r="I7" s="3">
        <v>6.25</v>
      </c>
      <c r="J7" s="3" t="s">
        <v>23</v>
      </c>
      <c r="K7" s="17">
        <v>3.42</v>
      </c>
      <c r="L7" s="17">
        <f t="shared" si="0"/>
        <v>21.38</v>
      </c>
    </row>
    <row r="8" spans="2:16" x14ac:dyDescent="0.25">
      <c r="B8" s="3" t="s">
        <v>45</v>
      </c>
      <c r="C8" s="3">
        <v>5075</v>
      </c>
      <c r="D8" s="137" t="s">
        <v>47</v>
      </c>
      <c r="E8" s="138"/>
      <c r="F8" s="138"/>
      <c r="G8" s="138"/>
      <c r="H8" s="139"/>
      <c r="I8" s="3">
        <v>0.11</v>
      </c>
      <c r="J8" s="3" t="s">
        <v>48</v>
      </c>
      <c r="K8" s="17">
        <v>13.56</v>
      </c>
      <c r="L8" s="17">
        <f t="shared" si="0"/>
        <v>1.49</v>
      </c>
      <c r="P8" s="4"/>
    </row>
    <row r="9" spans="2:16" x14ac:dyDescent="0.25">
      <c r="B9" s="3" t="s">
        <v>45</v>
      </c>
      <c r="C9" s="3">
        <v>2745</v>
      </c>
      <c r="D9" s="137" t="s">
        <v>70</v>
      </c>
      <c r="E9" s="138"/>
      <c r="F9" s="138"/>
      <c r="G9" s="138"/>
      <c r="H9" s="139"/>
      <c r="I9" s="3">
        <v>5</v>
      </c>
      <c r="J9" s="3" t="s">
        <v>23</v>
      </c>
      <c r="K9" s="17">
        <v>5.58</v>
      </c>
      <c r="L9" s="17">
        <f t="shared" si="0"/>
        <v>27.9</v>
      </c>
      <c r="P9" s="4"/>
    </row>
    <row r="10" spans="2:16" x14ac:dyDescent="0.25">
      <c r="B10" s="3" t="s">
        <v>22</v>
      </c>
      <c r="C10" s="3">
        <v>88262</v>
      </c>
      <c r="D10" s="137" t="s">
        <v>49</v>
      </c>
      <c r="E10" s="138"/>
      <c r="F10" s="138"/>
      <c r="G10" s="138"/>
      <c r="H10" s="139"/>
      <c r="I10" s="3">
        <v>0.5</v>
      </c>
      <c r="J10" s="3" t="s">
        <v>38</v>
      </c>
      <c r="K10" s="17">
        <v>26.69</v>
      </c>
      <c r="L10" s="17">
        <f t="shared" si="0"/>
        <v>13.35</v>
      </c>
    </row>
    <row r="11" spans="2:16" x14ac:dyDescent="0.25">
      <c r="B11" s="3" t="s">
        <v>22</v>
      </c>
      <c r="C11" s="3">
        <v>88316</v>
      </c>
      <c r="D11" s="137" t="s">
        <v>50</v>
      </c>
      <c r="E11" s="138"/>
      <c r="F11" s="138"/>
      <c r="G11" s="138"/>
      <c r="H11" s="139"/>
      <c r="I11" s="3">
        <v>0.5</v>
      </c>
      <c r="J11" s="3" t="s">
        <v>38</v>
      </c>
      <c r="K11" s="17">
        <v>22.4</v>
      </c>
      <c r="L11" s="17">
        <f t="shared" si="0"/>
        <v>11.2</v>
      </c>
    </row>
    <row r="12" spans="2:16" x14ac:dyDescent="0.2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2:16" x14ac:dyDescent="0.25">
      <c r="B13" s="131" t="s">
        <v>10</v>
      </c>
      <c r="C13" s="131"/>
      <c r="D13" s="131"/>
      <c r="E13" s="131"/>
      <c r="F13" s="131"/>
      <c r="G13" s="131"/>
      <c r="H13" s="131"/>
      <c r="I13" s="131"/>
      <c r="J13" s="131"/>
      <c r="K13" s="131"/>
      <c r="L13" s="6">
        <f>ROUND(L6+L7+L8+L9,2)</f>
        <v>770.77</v>
      </c>
    </row>
    <row r="14" spans="2:16" x14ac:dyDescent="0.25">
      <c r="B14" s="131" t="s">
        <v>11</v>
      </c>
      <c r="C14" s="131"/>
      <c r="D14" s="131"/>
      <c r="E14" s="131"/>
      <c r="F14" s="131"/>
      <c r="G14" s="131"/>
      <c r="H14" s="131"/>
      <c r="I14" s="131"/>
      <c r="J14" s="131"/>
      <c r="K14" s="131"/>
      <c r="L14" s="6">
        <f>ROUND(L10+L11,2)</f>
        <v>24.55</v>
      </c>
    </row>
    <row r="15" spans="2:16" ht="15.75" thickBot="1" x14ac:dyDescent="0.3"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4"/>
    </row>
    <row r="16" spans="2:16" ht="15.75" thickBot="1" x14ac:dyDescent="0.3">
      <c r="B16" s="132" t="s">
        <v>98</v>
      </c>
      <c r="C16" s="133"/>
      <c r="D16" s="133" t="s">
        <v>137</v>
      </c>
      <c r="E16" s="133"/>
      <c r="F16" s="133"/>
      <c r="G16" s="133"/>
      <c r="H16" s="133"/>
      <c r="I16" s="133"/>
      <c r="J16" s="133"/>
      <c r="K16" s="133"/>
      <c r="L16" s="140"/>
    </row>
    <row r="17" spans="2:15" x14ac:dyDescent="0.25">
      <c r="B17" s="35" t="s">
        <v>40</v>
      </c>
      <c r="C17" s="35" t="s">
        <v>41</v>
      </c>
      <c r="D17" s="122" t="s">
        <v>9</v>
      </c>
      <c r="E17" s="122"/>
      <c r="F17" s="122"/>
      <c r="G17" s="122"/>
      <c r="H17" s="122"/>
      <c r="I17" s="35" t="s">
        <v>42</v>
      </c>
      <c r="J17" s="35" t="s">
        <v>3</v>
      </c>
      <c r="K17" s="35" t="s">
        <v>43</v>
      </c>
      <c r="L17" s="35" t="s">
        <v>44</v>
      </c>
    </row>
    <row r="18" spans="2:15" x14ac:dyDescent="0.25">
      <c r="B18" s="3" t="s">
        <v>22</v>
      </c>
      <c r="C18" s="3">
        <v>90781</v>
      </c>
      <c r="D18" s="136" t="s">
        <v>124</v>
      </c>
      <c r="E18" s="136"/>
      <c r="F18" s="136"/>
      <c r="G18" s="136"/>
      <c r="H18" s="136"/>
      <c r="I18" s="3">
        <v>8</v>
      </c>
      <c r="J18" s="3" t="s">
        <v>38</v>
      </c>
      <c r="K18" s="17">
        <v>35.479999999999997</v>
      </c>
      <c r="L18" s="17">
        <f t="shared" ref="L18:L19" si="1">ROUND(K18*I18,2)</f>
        <v>283.83999999999997</v>
      </c>
    </row>
    <row r="19" spans="2:15" ht="15" customHeight="1" x14ac:dyDescent="0.25">
      <c r="B19" s="3" t="s">
        <v>22</v>
      </c>
      <c r="C19" s="3">
        <v>4509</v>
      </c>
      <c r="D19" s="136" t="s">
        <v>125</v>
      </c>
      <c r="E19" s="136"/>
      <c r="F19" s="136"/>
      <c r="G19" s="136"/>
      <c r="H19" s="136"/>
      <c r="I19" s="3">
        <v>8</v>
      </c>
      <c r="J19" s="3" t="s">
        <v>38</v>
      </c>
      <c r="K19" s="17">
        <v>17.13</v>
      </c>
      <c r="L19" s="17">
        <f t="shared" si="1"/>
        <v>137.04</v>
      </c>
    </row>
    <row r="20" spans="2:15" x14ac:dyDescent="0.25">
      <c r="B20" s="131" t="s">
        <v>10</v>
      </c>
      <c r="C20" s="131"/>
      <c r="D20" s="131"/>
      <c r="E20" s="131"/>
      <c r="F20" s="131"/>
      <c r="G20" s="131"/>
      <c r="H20" s="131"/>
      <c r="I20" s="131"/>
      <c r="J20" s="131"/>
      <c r="K20" s="131"/>
      <c r="L20" s="6"/>
    </row>
    <row r="21" spans="2:15" x14ac:dyDescent="0.25">
      <c r="B21" s="131" t="s">
        <v>11</v>
      </c>
      <c r="C21" s="131"/>
      <c r="D21" s="131"/>
      <c r="E21" s="131"/>
      <c r="F21" s="131"/>
      <c r="G21" s="131"/>
      <c r="H21" s="131"/>
      <c r="I21" s="131"/>
      <c r="J21" s="131"/>
      <c r="K21" s="131"/>
      <c r="L21" s="6">
        <f>ROUND(L18+L19,2)</f>
        <v>420.88</v>
      </c>
    </row>
    <row r="22" spans="2:15" ht="15.75" thickBot="1" x14ac:dyDescent="0.3"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4"/>
    </row>
    <row r="23" spans="2:15" ht="28.5" customHeight="1" thickBot="1" x14ac:dyDescent="0.3">
      <c r="B23" s="132" t="s">
        <v>100</v>
      </c>
      <c r="C23" s="133"/>
      <c r="D23" s="134" t="s">
        <v>145</v>
      </c>
      <c r="E23" s="134"/>
      <c r="F23" s="134"/>
      <c r="G23" s="134"/>
      <c r="H23" s="134"/>
      <c r="I23" s="134"/>
      <c r="J23" s="134"/>
      <c r="K23" s="134"/>
      <c r="L23" s="135"/>
    </row>
    <row r="24" spans="2:15" x14ac:dyDescent="0.25">
      <c r="B24" s="35" t="s">
        <v>40</v>
      </c>
      <c r="C24" s="35" t="s">
        <v>41</v>
      </c>
      <c r="D24" s="122" t="s">
        <v>9</v>
      </c>
      <c r="E24" s="122"/>
      <c r="F24" s="122"/>
      <c r="G24" s="122"/>
      <c r="H24" s="122"/>
      <c r="I24" s="35" t="s">
        <v>42</v>
      </c>
      <c r="J24" s="35" t="s">
        <v>3</v>
      </c>
      <c r="K24" s="35" t="s">
        <v>43</v>
      </c>
      <c r="L24" s="35" t="s">
        <v>44</v>
      </c>
    </row>
    <row r="25" spans="2:15" ht="30.75" customHeight="1" x14ac:dyDescent="0.25">
      <c r="B25" s="3" t="s">
        <v>45</v>
      </c>
      <c r="C25" s="3">
        <v>37524</v>
      </c>
      <c r="D25" s="136" t="s">
        <v>143</v>
      </c>
      <c r="E25" s="136"/>
      <c r="F25" s="136"/>
      <c r="G25" s="136"/>
      <c r="H25" s="136"/>
      <c r="I25" s="3">
        <v>1</v>
      </c>
      <c r="J25" s="3" t="s">
        <v>23</v>
      </c>
      <c r="K25" s="17">
        <v>2.85</v>
      </c>
      <c r="L25" s="17">
        <f t="shared" ref="L25:L27" si="2">ROUND(K25*I25,2)</f>
        <v>2.85</v>
      </c>
    </row>
    <row r="26" spans="2:15" ht="30.75" customHeight="1" x14ac:dyDescent="0.25">
      <c r="B26" s="3" t="s">
        <v>45</v>
      </c>
      <c r="C26" s="3">
        <v>4513</v>
      </c>
      <c r="D26" s="136" t="s">
        <v>146</v>
      </c>
      <c r="E26" s="136"/>
      <c r="F26" s="136"/>
      <c r="G26" s="136"/>
      <c r="H26" s="136"/>
      <c r="I26" s="3">
        <v>0.5</v>
      </c>
      <c r="J26" s="3" t="s">
        <v>23</v>
      </c>
      <c r="K26" s="17">
        <v>4.75</v>
      </c>
      <c r="L26" s="17">
        <f t="shared" ref="L26" si="3">ROUND(K26*I26,2)</f>
        <v>2.38</v>
      </c>
    </row>
    <row r="27" spans="2:15" ht="15" customHeight="1" x14ac:dyDescent="0.25">
      <c r="B27" s="3" t="s">
        <v>22</v>
      </c>
      <c r="C27" s="3">
        <v>99316</v>
      </c>
      <c r="D27" s="137" t="s">
        <v>135</v>
      </c>
      <c r="E27" s="138"/>
      <c r="F27" s="138"/>
      <c r="G27" s="138"/>
      <c r="H27" s="139"/>
      <c r="I27" s="3">
        <v>0.1</v>
      </c>
      <c r="J27" s="3" t="s">
        <v>38</v>
      </c>
      <c r="K27" s="17">
        <v>22.4</v>
      </c>
      <c r="L27" s="17">
        <f t="shared" si="2"/>
        <v>2.2400000000000002</v>
      </c>
    </row>
    <row r="28" spans="2:15" ht="15" customHeight="1" x14ac:dyDescent="0.25">
      <c r="B28" s="131" t="s">
        <v>10</v>
      </c>
      <c r="C28" s="131"/>
      <c r="D28" s="131"/>
      <c r="E28" s="131"/>
      <c r="F28" s="131"/>
      <c r="G28" s="131"/>
      <c r="H28" s="131"/>
      <c r="I28" s="131"/>
      <c r="J28" s="131"/>
      <c r="K28" s="131"/>
      <c r="L28" s="6">
        <f>ROUND(L25+L26,2)</f>
        <v>5.23</v>
      </c>
    </row>
    <row r="29" spans="2:15" x14ac:dyDescent="0.25">
      <c r="B29" s="131" t="s">
        <v>11</v>
      </c>
      <c r="C29" s="131"/>
      <c r="D29" s="131"/>
      <c r="E29" s="131"/>
      <c r="F29" s="131"/>
      <c r="G29" s="131"/>
      <c r="H29" s="131"/>
      <c r="I29" s="131"/>
      <c r="J29" s="131"/>
      <c r="K29" s="131"/>
      <c r="L29" s="6">
        <f>ROUND(L27,2)</f>
        <v>2.2400000000000002</v>
      </c>
    </row>
    <row r="30" spans="2:15" ht="15.75" thickBot="1" x14ac:dyDescent="0.3"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4"/>
    </row>
    <row r="31" spans="2:15" ht="15.75" thickBot="1" x14ac:dyDescent="0.3">
      <c r="B31" s="132" t="s">
        <v>139</v>
      </c>
      <c r="C31" s="133"/>
      <c r="D31" s="133" t="s">
        <v>127</v>
      </c>
      <c r="E31" s="133"/>
      <c r="F31" s="133"/>
      <c r="G31" s="133"/>
      <c r="H31" s="133"/>
      <c r="I31" s="133"/>
      <c r="J31" s="133"/>
      <c r="K31" s="133"/>
      <c r="L31" s="140"/>
    </row>
    <row r="32" spans="2:15" x14ac:dyDescent="0.25">
      <c r="B32" s="35" t="s">
        <v>40</v>
      </c>
      <c r="C32" s="35" t="s">
        <v>41</v>
      </c>
      <c r="D32" s="122" t="s">
        <v>9</v>
      </c>
      <c r="E32" s="122"/>
      <c r="F32" s="122"/>
      <c r="G32" s="122"/>
      <c r="H32" s="122"/>
      <c r="I32" s="35" t="s">
        <v>42</v>
      </c>
      <c r="J32" s="35" t="s">
        <v>3</v>
      </c>
      <c r="K32" s="35" t="s">
        <v>43</v>
      </c>
      <c r="L32" s="35" t="s">
        <v>44</v>
      </c>
      <c r="N32" s="45"/>
      <c r="O32" s="45"/>
    </row>
    <row r="33" spans="2:12" ht="40.5" customHeight="1" x14ac:dyDescent="0.25">
      <c r="B33" s="3" t="s">
        <v>22</v>
      </c>
      <c r="C33" s="3">
        <v>92543</v>
      </c>
      <c r="D33" s="136" t="s">
        <v>128</v>
      </c>
      <c r="E33" s="136"/>
      <c r="F33" s="136"/>
      <c r="G33" s="136"/>
      <c r="H33" s="136"/>
      <c r="I33" s="3">
        <v>1.75</v>
      </c>
      <c r="J33" s="3" t="s">
        <v>52</v>
      </c>
      <c r="K33" s="17">
        <v>12.13</v>
      </c>
      <c r="L33" s="17">
        <f t="shared" ref="L33:L34" si="4">ROUND(K33*I33,2)</f>
        <v>21.23</v>
      </c>
    </row>
    <row r="34" spans="2:12" ht="57.75" customHeight="1" x14ac:dyDescent="0.25">
      <c r="B34" s="3" t="s">
        <v>22</v>
      </c>
      <c r="C34" s="3">
        <v>94210</v>
      </c>
      <c r="D34" s="136" t="s">
        <v>129</v>
      </c>
      <c r="E34" s="136"/>
      <c r="F34" s="136"/>
      <c r="G34" s="136"/>
      <c r="H34" s="136"/>
      <c r="I34" s="3">
        <v>1.75</v>
      </c>
      <c r="J34" s="3" t="s">
        <v>52</v>
      </c>
      <c r="K34" s="17">
        <v>47.26</v>
      </c>
      <c r="L34" s="17">
        <f t="shared" si="4"/>
        <v>82.71</v>
      </c>
    </row>
    <row r="35" spans="2:12" ht="44.25" customHeight="1" x14ac:dyDescent="0.25">
      <c r="B35" s="3" t="s">
        <v>22</v>
      </c>
      <c r="C35" s="3">
        <v>98441</v>
      </c>
      <c r="D35" s="136" t="s">
        <v>130</v>
      </c>
      <c r="E35" s="136"/>
      <c r="F35" s="136"/>
      <c r="G35" s="136"/>
      <c r="H35" s="136"/>
      <c r="I35" s="3">
        <v>1.2</v>
      </c>
      <c r="J35" s="3" t="s">
        <v>52</v>
      </c>
      <c r="K35" s="17">
        <v>76.709999999999994</v>
      </c>
      <c r="L35" s="17">
        <f t="shared" ref="L35" si="5">ROUND(K35*I35,2)</f>
        <v>92.05</v>
      </c>
    </row>
    <row r="36" spans="2:12" ht="36.75" customHeight="1" x14ac:dyDescent="0.25">
      <c r="B36" s="3" t="s">
        <v>45</v>
      </c>
      <c r="C36" s="3">
        <v>39022</v>
      </c>
      <c r="D36" s="136" t="s">
        <v>136</v>
      </c>
      <c r="E36" s="136"/>
      <c r="F36" s="136"/>
      <c r="G36" s="136"/>
      <c r="H36" s="136"/>
      <c r="I36" s="3">
        <v>0.16</v>
      </c>
      <c r="J36" s="3" t="s">
        <v>52</v>
      </c>
      <c r="K36" s="17">
        <v>520</v>
      </c>
      <c r="L36" s="17">
        <f t="shared" ref="L36" si="6">ROUND(K36*I36,2)</f>
        <v>83.2</v>
      </c>
    </row>
    <row r="37" spans="2:12" ht="35.25" customHeight="1" x14ac:dyDescent="0.25">
      <c r="B37" s="3" t="s">
        <v>45</v>
      </c>
      <c r="C37" s="3">
        <v>2745</v>
      </c>
      <c r="D37" s="136" t="s">
        <v>131</v>
      </c>
      <c r="E37" s="136"/>
      <c r="F37" s="136"/>
      <c r="G37" s="136"/>
      <c r="H37" s="136"/>
      <c r="I37" s="3">
        <v>3</v>
      </c>
      <c r="J37" s="3" t="s">
        <v>23</v>
      </c>
      <c r="K37" s="17">
        <v>5.58</v>
      </c>
      <c r="L37" s="17">
        <f t="shared" ref="L37" si="7">ROUND(K37*I37,2)</f>
        <v>16.739999999999998</v>
      </c>
    </row>
    <row r="38" spans="2:12" ht="36" customHeight="1" x14ac:dyDescent="0.25">
      <c r="B38" s="3" t="s">
        <v>22</v>
      </c>
      <c r="C38" s="3">
        <v>93358</v>
      </c>
      <c r="D38" s="136" t="s">
        <v>132</v>
      </c>
      <c r="E38" s="136"/>
      <c r="F38" s="136"/>
      <c r="G38" s="136"/>
      <c r="H38" s="136"/>
      <c r="I38" s="3">
        <v>0.5</v>
      </c>
      <c r="J38" s="3" t="s">
        <v>60</v>
      </c>
      <c r="K38" s="17">
        <v>11.64</v>
      </c>
      <c r="L38" s="17">
        <f t="shared" ref="L38" si="8">ROUND(K38*I38,2)</f>
        <v>5.82</v>
      </c>
    </row>
    <row r="39" spans="2:12" ht="27.75" customHeight="1" x14ac:dyDescent="0.25">
      <c r="B39" s="3" t="s">
        <v>22</v>
      </c>
      <c r="C39" s="3">
        <v>93382</v>
      </c>
      <c r="D39" s="136" t="s">
        <v>133</v>
      </c>
      <c r="E39" s="136"/>
      <c r="F39" s="136"/>
      <c r="G39" s="136"/>
      <c r="H39" s="136"/>
      <c r="I39" s="3">
        <v>0.2</v>
      </c>
      <c r="J39" s="3" t="s">
        <v>60</v>
      </c>
      <c r="K39" s="17">
        <v>7.59</v>
      </c>
      <c r="L39" s="17">
        <f t="shared" ref="L39" si="9">ROUND(K39*I39,2)</f>
        <v>1.52</v>
      </c>
    </row>
    <row r="40" spans="2:12" ht="16.5" customHeight="1" x14ac:dyDescent="0.25">
      <c r="B40" s="3" t="s">
        <v>22</v>
      </c>
      <c r="C40" s="3">
        <v>88273</v>
      </c>
      <c r="D40" s="136" t="s">
        <v>134</v>
      </c>
      <c r="E40" s="136"/>
      <c r="F40" s="136"/>
      <c r="G40" s="136"/>
      <c r="H40" s="136"/>
      <c r="I40" s="3">
        <v>1.2</v>
      </c>
      <c r="J40" s="3" t="s">
        <v>38</v>
      </c>
      <c r="K40" s="17">
        <v>25.21</v>
      </c>
      <c r="L40" s="17">
        <f t="shared" ref="L40" si="10">ROUND(K40*I40,2)</f>
        <v>30.25</v>
      </c>
    </row>
    <row r="41" spans="2:12" ht="24.75" customHeight="1" x14ac:dyDescent="0.25">
      <c r="B41" s="3" t="s">
        <v>22</v>
      </c>
      <c r="C41" s="3">
        <v>99316</v>
      </c>
      <c r="D41" s="137" t="s">
        <v>135</v>
      </c>
      <c r="E41" s="138"/>
      <c r="F41" s="138"/>
      <c r="G41" s="138"/>
      <c r="H41" s="139"/>
      <c r="I41" s="3">
        <v>1.2</v>
      </c>
      <c r="J41" s="3" t="s">
        <v>38</v>
      </c>
      <c r="K41" s="17">
        <v>22.4</v>
      </c>
      <c r="L41" s="17">
        <f t="shared" ref="L41" si="11">ROUND(K41*I41,2)</f>
        <v>26.88</v>
      </c>
    </row>
    <row r="42" spans="2:12" ht="24.75" customHeight="1" x14ac:dyDescent="0.25">
      <c r="B42" s="3" t="s">
        <v>45</v>
      </c>
      <c r="C42" s="3">
        <v>5069</v>
      </c>
      <c r="D42" s="137" t="s">
        <v>138</v>
      </c>
      <c r="E42" s="138"/>
      <c r="F42" s="138"/>
      <c r="G42" s="138"/>
      <c r="H42" s="139"/>
      <c r="I42" s="3">
        <v>0.06</v>
      </c>
      <c r="J42" s="3" t="s">
        <v>48</v>
      </c>
      <c r="K42" s="17">
        <v>13.82</v>
      </c>
      <c r="L42" s="17">
        <f t="shared" ref="L42" si="12">ROUND(K42*I42,2)</f>
        <v>0.83</v>
      </c>
    </row>
    <row r="43" spans="2:12" x14ac:dyDescent="0.25">
      <c r="B43" s="131" t="s">
        <v>10</v>
      </c>
      <c r="C43" s="131"/>
      <c r="D43" s="131"/>
      <c r="E43" s="131"/>
      <c r="F43" s="131"/>
      <c r="G43" s="131"/>
      <c r="H43" s="131"/>
      <c r="I43" s="131"/>
      <c r="J43" s="131"/>
      <c r="K43" s="131"/>
      <c r="L43" s="6">
        <f>L33+L34+L35+L36+L37+L38+L39+L42</f>
        <v>304.09999999999997</v>
      </c>
    </row>
    <row r="44" spans="2:12" x14ac:dyDescent="0.25">
      <c r="B44" s="131" t="s">
        <v>11</v>
      </c>
      <c r="C44" s="131"/>
      <c r="D44" s="131"/>
      <c r="E44" s="131"/>
      <c r="F44" s="131"/>
      <c r="G44" s="131"/>
      <c r="H44" s="131"/>
      <c r="I44" s="131"/>
      <c r="J44" s="131"/>
      <c r="K44" s="131"/>
      <c r="L44" s="6">
        <f>L40+L41</f>
        <v>57.129999999999995</v>
      </c>
    </row>
    <row r="45" spans="2:12" ht="15.75" thickBot="1" x14ac:dyDescent="0.3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4"/>
    </row>
    <row r="46" spans="2:12" ht="29.25" customHeight="1" thickBot="1" x14ac:dyDescent="0.3">
      <c r="B46" s="132" t="s">
        <v>147</v>
      </c>
      <c r="C46" s="133"/>
      <c r="D46" s="134" t="s">
        <v>142</v>
      </c>
      <c r="E46" s="134"/>
      <c r="F46" s="134"/>
      <c r="G46" s="134"/>
      <c r="H46" s="134"/>
      <c r="I46" s="134"/>
      <c r="J46" s="134"/>
      <c r="K46" s="134"/>
      <c r="L46" s="135"/>
    </row>
    <row r="47" spans="2:12" x14ac:dyDescent="0.25">
      <c r="B47" s="35" t="s">
        <v>40</v>
      </c>
      <c r="C47" s="35" t="s">
        <v>41</v>
      </c>
      <c r="D47" s="122" t="s">
        <v>9</v>
      </c>
      <c r="E47" s="122"/>
      <c r="F47" s="122"/>
      <c r="G47" s="122"/>
      <c r="H47" s="122"/>
      <c r="I47" s="35" t="s">
        <v>42</v>
      </c>
      <c r="J47" s="35" t="s">
        <v>3</v>
      </c>
      <c r="K47" s="35" t="s">
        <v>43</v>
      </c>
      <c r="L47" s="35" t="s">
        <v>44</v>
      </c>
    </row>
    <row r="48" spans="2:12" ht="30" customHeight="1" x14ac:dyDescent="0.25">
      <c r="B48" s="3" t="s">
        <v>45</v>
      </c>
      <c r="C48" s="3">
        <v>3346</v>
      </c>
      <c r="D48" s="136" t="s">
        <v>74</v>
      </c>
      <c r="E48" s="136"/>
      <c r="F48" s="136"/>
      <c r="G48" s="136"/>
      <c r="H48" s="136"/>
      <c r="I48" s="3">
        <v>1</v>
      </c>
      <c r="J48" s="3" t="s">
        <v>38</v>
      </c>
      <c r="K48" s="17">
        <v>20.25</v>
      </c>
      <c r="L48" s="17">
        <f t="shared" ref="L48:L49" si="13">ROUND(K48*I48,2)</f>
        <v>20.25</v>
      </c>
    </row>
    <row r="49" spans="2:12" x14ac:dyDescent="0.25">
      <c r="B49" s="3" t="s">
        <v>45</v>
      </c>
      <c r="C49" s="3">
        <v>4221</v>
      </c>
      <c r="D49" s="136" t="s">
        <v>140</v>
      </c>
      <c r="E49" s="136"/>
      <c r="F49" s="136"/>
      <c r="G49" s="136"/>
      <c r="H49" s="136"/>
      <c r="I49" s="3">
        <v>16</v>
      </c>
      <c r="J49" s="3" t="s">
        <v>141</v>
      </c>
      <c r="K49" s="17">
        <v>5.96</v>
      </c>
      <c r="L49" s="17">
        <f t="shared" si="13"/>
        <v>95.36</v>
      </c>
    </row>
    <row r="50" spans="2:12" x14ac:dyDescent="0.25">
      <c r="B50" s="131" t="s">
        <v>10</v>
      </c>
      <c r="C50" s="131"/>
      <c r="D50" s="131"/>
      <c r="E50" s="131"/>
      <c r="F50" s="131"/>
      <c r="G50" s="131"/>
      <c r="H50" s="131"/>
      <c r="I50" s="131"/>
      <c r="J50" s="131"/>
      <c r="K50" s="131"/>
      <c r="L50" s="6">
        <f>L49+L48</f>
        <v>115.61</v>
      </c>
    </row>
    <row r="51" spans="2:12" x14ac:dyDescent="0.25">
      <c r="B51" s="131" t="s">
        <v>11</v>
      </c>
      <c r="C51" s="131"/>
      <c r="D51" s="131"/>
      <c r="E51" s="131"/>
      <c r="F51" s="131"/>
      <c r="G51" s="131"/>
      <c r="H51" s="131"/>
      <c r="I51" s="131"/>
      <c r="J51" s="131"/>
      <c r="K51" s="131"/>
      <c r="L51" s="6"/>
    </row>
    <row r="52" spans="2:12" ht="15.75" thickBot="1" x14ac:dyDescent="0.3"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4"/>
    </row>
    <row r="53" spans="2:12" ht="27" customHeight="1" thickBot="1" x14ac:dyDescent="0.3">
      <c r="B53" s="132" t="s">
        <v>163</v>
      </c>
      <c r="C53" s="133"/>
      <c r="D53" s="134" t="s">
        <v>94</v>
      </c>
      <c r="E53" s="134"/>
      <c r="F53" s="134"/>
      <c r="G53" s="134"/>
      <c r="H53" s="134"/>
      <c r="I53" s="134"/>
      <c r="J53" s="134"/>
      <c r="K53" s="134"/>
      <c r="L53" s="135"/>
    </row>
    <row r="54" spans="2:12" x14ac:dyDescent="0.25">
      <c r="B54" s="27" t="s">
        <v>40</v>
      </c>
      <c r="C54" s="27" t="s">
        <v>41</v>
      </c>
      <c r="D54" s="122" t="s">
        <v>9</v>
      </c>
      <c r="E54" s="122"/>
      <c r="F54" s="122"/>
      <c r="G54" s="122"/>
      <c r="H54" s="122"/>
      <c r="I54" s="27" t="s">
        <v>42</v>
      </c>
      <c r="J54" s="27" t="s">
        <v>3</v>
      </c>
      <c r="K54" s="27" t="s">
        <v>43</v>
      </c>
      <c r="L54" s="27" t="s">
        <v>44</v>
      </c>
    </row>
    <row r="55" spans="2:12" x14ac:dyDescent="0.25">
      <c r="B55" s="3" t="s">
        <v>45</v>
      </c>
      <c r="C55" s="3">
        <v>4408</v>
      </c>
      <c r="D55" s="136" t="s">
        <v>92</v>
      </c>
      <c r="E55" s="136"/>
      <c r="F55" s="136"/>
      <c r="G55" s="136"/>
      <c r="H55" s="136"/>
      <c r="I55" s="3">
        <v>6</v>
      </c>
      <c r="J55" s="3" t="s">
        <v>23</v>
      </c>
      <c r="K55" s="17">
        <v>1.51</v>
      </c>
      <c r="L55" s="17">
        <f>ROUND(K55*I55,2)</f>
        <v>9.06</v>
      </c>
    </row>
    <row r="56" spans="2:12" ht="15" customHeight="1" x14ac:dyDescent="0.25">
      <c r="B56" s="3" t="s">
        <v>45</v>
      </c>
      <c r="C56" s="3">
        <v>2745</v>
      </c>
      <c r="D56" s="137" t="s">
        <v>70</v>
      </c>
      <c r="E56" s="138"/>
      <c r="F56" s="138"/>
      <c r="G56" s="138"/>
      <c r="H56" s="139"/>
      <c r="I56" s="3">
        <v>2</v>
      </c>
      <c r="J56" s="3" t="s">
        <v>23</v>
      </c>
      <c r="K56" s="17">
        <v>5.58</v>
      </c>
      <c r="L56" s="17">
        <f>ROUND(K56*I56,2)</f>
        <v>11.16</v>
      </c>
    </row>
    <row r="57" spans="2:12" ht="15" customHeight="1" x14ac:dyDescent="0.25">
      <c r="B57" s="3" t="s">
        <v>45</v>
      </c>
      <c r="C57" s="3">
        <v>5073</v>
      </c>
      <c r="D57" s="137" t="s">
        <v>93</v>
      </c>
      <c r="E57" s="138"/>
      <c r="F57" s="138"/>
      <c r="G57" s="138"/>
      <c r="H57" s="139"/>
      <c r="I57" s="3">
        <v>0.2</v>
      </c>
      <c r="J57" s="3" t="s">
        <v>48</v>
      </c>
      <c r="K57" s="17">
        <v>13.82</v>
      </c>
      <c r="L57" s="17">
        <f>ROUND(K57*I57,2)</f>
        <v>2.76</v>
      </c>
    </row>
    <row r="58" spans="2:12" x14ac:dyDescent="0.25">
      <c r="B58" s="3" t="s">
        <v>22</v>
      </c>
      <c r="C58" s="3">
        <v>88262</v>
      </c>
      <c r="D58" s="137" t="s">
        <v>49</v>
      </c>
      <c r="E58" s="138"/>
      <c r="F58" s="138"/>
      <c r="G58" s="138"/>
      <c r="H58" s="139"/>
      <c r="I58" s="3">
        <v>0.2</v>
      </c>
      <c r="J58" s="3" t="s">
        <v>38</v>
      </c>
      <c r="K58" s="17">
        <v>26.69</v>
      </c>
      <c r="L58" s="17">
        <f>ROUND(K58*I58,2)</f>
        <v>5.34</v>
      </c>
    </row>
    <row r="59" spans="2:12" x14ac:dyDescent="0.25">
      <c r="B59" s="3" t="s">
        <v>22</v>
      </c>
      <c r="C59" s="3">
        <v>88316</v>
      </c>
      <c r="D59" s="137" t="s">
        <v>50</v>
      </c>
      <c r="E59" s="138"/>
      <c r="F59" s="138"/>
      <c r="G59" s="138"/>
      <c r="H59" s="139"/>
      <c r="I59" s="3">
        <v>0.2</v>
      </c>
      <c r="J59" s="3" t="s">
        <v>38</v>
      </c>
      <c r="K59" s="17">
        <v>22.4</v>
      </c>
      <c r="L59" s="17">
        <f>ROUND(K59*I59,2)</f>
        <v>4.4800000000000004</v>
      </c>
    </row>
    <row r="60" spans="2:12" x14ac:dyDescent="0.25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</row>
    <row r="61" spans="2:12" x14ac:dyDescent="0.25">
      <c r="B61" s="131" t="s">
        <v>10</v>
      </c>
      <c r="C61" s="131"/>
      <c r="D61" s="131"/>
      <c r="E61" s="131"/>
      <c r="F61" s="131"/>
      <c r="G61" s="131"/>
      <c r="H61" s="131"/>
      <c r="I61" s="131"/>
      <c r="J61" s="131"/>
      <c r="K61" s="131"/>
      <c r="L61" s="6">
        <f>ROUND(L55+L56+L57,2)</f>
        <v>22.98</v>
      </c>
    </row>
    <row r="62" spans="2:12" x14ac:dyDescent="0.25">
      <c r="B62" s="131" t="s">
        <v>11</v>
      </c>
      <c r="C62" s="131"/>
      <c r="D62" s="131"/>
      <c r="E62" s="131"/>
      <c r="F62" s="131"/>
      <c r="G62" s="131"/>
      <c r="H62" s="131"/>
      <c r="I62" s="131"/>
      <c r="J62" s="131"/>
      <c r="K62" s="131"/>
      <c r="L62" s="6">
        <f>ROUND(L58+L59,2)</f>
        <v>9.82</v>
      </c>
    </row>
    <row r="63" spans="2:12" ht="15.75" thickBot="1" x14ac:dyDescent="0.3"/>
    <row r="64" spans="2:12" ht="15.75" thickBot="1" x14ac:dyDescent="0.3">
      <c r="B64" s="141" t="s">
        <v>204</v>
      </c>
      <c r="C64" s="142"/>
      <c r="D64" s="133" t="s">
        <v>226</v>
      </c>
      <c r="E64" s="133"/>
      <c r="F64" s="133"/>
      <c r="G64" s="133"/>
      <c r="H64" s="133"/>
      <c r="I64" s="133"/>
      <c r="J64" s="133"/>
      <c r="K64" s="133"/>
      <c r="L64" s="140"/>
    </row>
    <row r="65" spans="2:12" x14ac:dyDescent="0.25">
      <c r="B65" s="29" t="s">
        <v>40</v>
      </c>
      <c r="C65" s="29" t="s">
        <v>41</v>
      </c>
      <c r="D65" s="122" t="s">
        <v>9</v>
      </c>
      <c r="E65" s="122"/>
      <c r="F65" s="122"/>
      <c r="G65" s="122"/>
      <c r="H65" s="122"/>
      <c r="I65" s="29" t="s">
        <v>42</v>
      </c>
      <c r="J65" s="29" t="s">
        <v>3</v>
      </c>
      <c r="K65" s="29" t="s">
        <v>43</v>
      </c>
      <c r="L65" s="29" t="s">
        <v>44</v>
      </c>
    </row>
    <row r="66" spans="2:12" ht="45" customHeight="1" x14ac:dyDescent="0.25">
      <c r="B66" s="3" t="s">
        <v>45</v>
      </c>
      <c r="C66" s="3">
        <v>34479</v>
      </c>
      <c r="D66" s="136" t="s">
        <v>205</v>
      </c>
      <c r="E66" s="136"/>
      <c r="F66" s="136"/>
      <c r="G66" s="136"/>
      <c r="H66" s="136"/>
      <c r="I66" s="3">
        <v>1.103</v>
      </c>
      <c r="J66" s="3" t="s">
        <v>60</v>
      </c>
      <c r="K66" s="17">
        <v>586.44000000000005</v>
      </c>
      <c r="L66" s="17">
        <f>ROUND(K66*I66,2)</f>
        <v>646.84</v>
      </c>
    </row>
    <row r="67" spans="2:12" x14ac:dyDescent="0.25">
      <c r="B67" s="3" t="s">
        <v>22</v>
      </c>
      <c r="C67" s="3">
        <v>5076</v>
      </c>
      <c r="D67" s="137" t="s">
        <v>90</v>
      </c>
      <c r="E67" s="138"/>
      <c r="F67" s="138"/>
      <c r="G67" s="138"/>
      <c r="H67" s="139"/>
      <c r="I67" s="3">
        <f>0.194+0.179</f>
        <v>0.373</v>
      </c>
      <c r="J67" s="3" t="s">
        <v>59</v>
      </c>
      <c r="K67" s="17">
        <v>1.25</v>
      </c>
      <c r="L67" s="17">
        <f>ROUND(K67*I67,2)</f>
        <v>0.47</v>
      </c>
    </row>
    <row r="68" spans="2:12" x14ac:dyDescent="0.25">
      <c r="B68" s="3" t="s">
        <v>22</v>
      </c>
      <c r="C68" s="3">
        <v>88262</v>
      </c>
      <c r="D68" s="137" t="s">
        <v>49</v>
      </c>
      <c r="E68" s="138"/>
      <c r="F68" s="138"/>
      <c r="G68" s="138"/>
      <c r="H68" s="139"/>
      <c r="I68" s="3">
        <v>0.186</v>
      </c>
      <c r="J68" s="3" t="s">
        <v>38</v>
      </c>
      <c r="K68" s="17">
        <v>26.69</v>
      </c>
      <c r="L68" s="17">
        <f>ROUND(K68*I68,2)</f>
        <v>4.96</v>
      </c>
    </row>
    <row r="69" spans="2:12" x14ac:dyDescent="0.25">
      <c r="B69" s="3" t="s">
        <v>22</v>
      </c>
      <c r="C69" s="3">
        <v>88309</v>
      </c>
      <c r="D69" s="137" t="s">
        <v>206</v>
      </c>
      <c r="E69" s="138"/>
      <c r="F69" s="138"/>
      <c r="G69" s="138"/>
      <c r="H69" s="139"/>
      <c r="I69" s="3">
        <v>1.119</v>
      </c>
      <c r="J69" s="3" t="s">
        <v>38</v>
      </c>
      <c r="K69" s="17">
        <v>27.06</v>
      </c>
      <c r="L69" s="17">
        <f>ROUND(K69*I69,2)</f>
        <v>30.28</v>
      </c>
    </row>
    <row r="70" spans="2:12" x14ac:dyDescent="0.25">
      <c r="B70" s="3" t="s">
        <v>22</v>
      </c>
      <c r="C70" s="3">
        <v>88316</v>
      </c>
      <c r="D70" s="137" t="s">
        <v>50</v>
      </c>
      <c r="E70" s="138"/>
      <c r="F70" s="138"/>
      <c r="G70" s="138"/>
      <c r="H70" s="139"/>
      <c r="I70" s="3">
        <v>1.1919999999999999</v>
      </c>
      <c r="J70" s="3" t="s">
        <v>38</v>
      </c>
      <c r="K70" s="17">
        <v>22.4</v>
      </c>
      <c r="L70" s="17">
        <f>ROUND(K70*I70,2)</f>
        <v>26.7</v>
      </c>
    </row>
    <row r="71" spans="2:12" x14ac:dyDescent="0.2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</row>
    <row r="72" spans="2:12" x14ac:dyDescent="0.25">
      <c r="B72" s="131" t="s">
        <v>10</v>
      </c>
      <c r="C72" s="131"/>
      <c r="D72" s="131"/>
      <c r="E72" s="131"/>
      <c r="F72" s="131"/>
      <c r="G72" s="131"/>
      <c r="H72" s="131"/>
      <c r="I72" s="131"/>
      <c r="J72" s="131"/>
      <c r="K72" s="131"/>
      <c r="L72" s="6">
        <f>ROUND(L66+L67,2)</f>
        <v>647.30999999999995</v>
      </c>
    </row>
    <row r="73" spans="2:12" x14ac:dyDescent="0.25">
      <c r="B73" s="131" t="s">
        <v>11</v>
      </c>
      <c r="C73" s="131"/>
      <c r="D73" s="131"/>
      <c r="E73" s="131"/>
      <c r="F73" s="131"/>
      <c r="G73" s="131"/>
      <c r="H73" s="131"/>
      <c r="I73" s="131"/>
      <c r="J73" s="131"/>
      <c r="K73" s="131"/>
      <c r="L73" s="6">
        <f>ROUND(L68+L70+L69,2)</f>
        <v>61.94</v>
      </c>
    </row>
    <row r="74" spans="2:12" ht="15.75" thickBot="1" x14ac:dyDescent="0.3"/>
    <row r="75" spans="2:12" ht="15.75" thickBot="1" x14ac:dyDescent="0.3">
      <c r="B75" s="141" t="s">
        <v>315</v>
      </c>
      <c r="C75" s="142"/>
      <c r="D75" s="133" t="s">
        <v>99</v>
      </c>
      <c r="E75" s="133"/>
      <c r="F75" s="133"/>
      <c r="G75" s="133"/>
      <c r="H75" s="133"/>
      <c r="I75" s="133"/>
      <c r="J75" s="133"/>
      <c r="K75" s="133"/>
      <c r="L75" s="140"/>
    </row>
    <row r="76" spans="2:12" x14ac:dyDescent="0.25">
      <c r="B76" s="29" t="s">
        <v>40</v>
      </c>
      <c r="C76" s="29" t="s">
        <v>41</v>
      </c>
      <c r="D76" s="122" t="s">
        <v>9</v>
      </c>
      <c r="E76" s="122"/>
      <c r="F76" s="122"/>
      <c r="G76" s="122"/>
      <c r="H76" s="122"/>
      <c r="I76" s="29" t="s">
        <v>42</v>
      </c>
      <c r="J76" s="29" t="s">
        <v>3</v>
      </c>
      <c r="K76" s="29" t="s">
        <v>43</v>
      </c>
      <c r="L76" s="29" t="s">
        <v>44</v>
      </c>
    </row>
    <row r="77" spans="2:12" x14ac:dyDescent="0.25">
      <c r="B77" s="3" t="s">
        <v>22</v>
      </c>
      <c r="C77" s="3">
        <v>88316</v>
      </c>
      <c r="D77" s="137" t="s">
        <v>50</v>
      </c>
      <c r="E77" s="138"/>
      <c r="F77" s="138"/>
      <c r="G77" s="138"/>
      <c r="H77" s="139"/>
      <c r="I77" s="3">
        <v>0.08</v>
      </c>
      <c r="J77" s="3" t="s">
        <v>38</v>
      </c>
      <c r="K77" s="17">
        <v>22.4</v>
      </c>
      <c r="L77" s="17">
        <f>ROUND(K77*I77,2)</f>
        <v>1.79</v>
      </c>
    </row>
    <row r="78" spans="2:12" x14ac:dyDescent="0.2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</row>
    <row r="79" spans="2:12" x14ac:dyDescent="0.25">
      <c r="B79" s="131" t="s">
        <v>10</v>
      </c>
      <c r="C79" s="131"/>
      <c r="D79" s="131"/>
      <c r="E79" s="131"/>
      <c r="F79" s="131"/>
      <c r="G79" s="131"/>
      <c r="H79" s="131"/>
      <c r="I79" s="131"/>
      <c r="J79" s="131"/>
      <c r="K79" s="131"/>
      <c r="L79" s="6">
        <v>0</v>
      </c>
    </row>
    <row r="80" spans="2:12" x14ac:dyDescent="0.25">
      <c r="B80" s="131" t="s">
        <v>11</v>
      </c>
      <c r="C80" s="131"/>
      <c r="D80" s="131"/>
      <c r="E80" s="131"/>
      <c r="F80" s="131"/>
      <c r="G80" s="131"/>
      <c r="H80" s="131"/>
      <c r="I80" s="131"/>
      <c r="J80" s="131"/>
      <c r="K80" s="131"/>
      <c r="L80" s="6">
        <f>ROUND(L77,2)</f>
        <v>1.79</v>
      </c>
    </row>
    <row r="86" spans="2:12" x14ac:dyDescent="0.25">
      <c r="B86" s="124" t="str">
        <f>ORÇAMENTO!E150</f>
        <v>DALTRO VANSO</v>
      </c>
      <c r="C86" s="124"/>
      <c r="D86" s="124"/>
      <c r="E86" s="124"/>
      <c r="F86" s="124"/>
      <c r="G86" s="124"/>
      <c r="H86" s="124"/>
      <c r="I86" s="124"/>
      <c r="J86" s="124"/>
      <c r="K86" s="124"/>
      <c r="L86" s="124"/>
    </row>
    <row r="87" spans="2:12" x14ac:dyDescent="0.25">
      <c r="B87" s="125" t="str">
        <f>ORÇAMENTO!E151</f>
        <v xml:space="preserve">ENGENHEIRO CIVIL </v>
      </c>
      <c r="C87" s="125"/>
      <c r="D87" s="125"/>
      <c r="E87" s="125"/>
      <c r="F87" s="125"/>
      <c r="G87" s="125"/>
      <c r="H87" s="125"/>
      <c r="I87" s="125"/>
      <c r="J87" s="125"/>
      <c r="K87" s="125"/>
      <c r="L87" s="125"/>
    </row>
  </sheetData>
  <mergeCells count="77">
    <mergeCell ref="D76:H76"/>
    <mergeCell ref="B86:L86"/>
    <mergeCell ref="B87:L87"/>
    <mergeCell ref="B80:K80"/>
    <mergeCell ref="D77:H77"/>
    <mergeCell ref="B79:K79"/>
    <mergeCell ref="D70:H70"/>
    <mergeCell ref="B72:K72"/>
    <mergeCell ref="B73:K73"/>
    <mergeCell ref="B75:C75"/>
    <mergeCell ref="D75:L75"/>
    <mergeCell ref="D69:H69"/>
    <mergeCell ref="D59:H59"/>
    <mergeCell ref="B61:K61"/>
    <mergeCell ref="D57:H57"/>
    <mergeCell ref="B62:K62"/>
    <mergeCell ref="B64:C64"/>
    <mergeCell ref="D64:L64"/>
    <mergeCell ref="D65:H65"/>
    <mergeCell ref="D66:H66"/>
    <mergeCell ref="D67:H67"/>
    <mergeCell ref="D68:H68"/>
    <mergeCell ref="D54:H54"/>
    <mergeCell ref="D55:H55"/>
    <mergeCell ref="D56:H56"/>
    <mergeCell ref="D58:H58"/>
    <mergeCell ref="B53:C53"/>
    <mergeCell ref="D53:L53"/>
    <mergeCell ref="B14:K14"/>
    <mergeCell ref="D7:H7"/>
    <mergeCell ref="D8:H8"/>
    <mergeCell ref="D10:H10"/>
    <mergeCell ref="D11:H11"/>
    <mergeCell ref="B13:K13"/>
    <mergeCell ref="D9:H9"/>
    <mergeCell ref="B4:C4"/>
    <mergeCell ref="D4:L4"/>
    <mergeCell ref="D5:H5"/>
    <mergeCell ref="B1:L1"/>
    <mergeCell ref="D6:H6"/>
    <mergeCell ref="B16:C16"/>
    <mergeCell ref="D16:L16"/>
    <mergeCell ref="D17:H17"/>
    <mergeCell ref="D18:H18"/>
    <mergeCell ref="D19:H19"/>
    <mergeCell ref="B20:K20"/>
    <mergeCell ref="B21:K21"/>
    <mergeCell ref="B31:C31"/>
    <mergeCell ref="D31:L31"/>
    <mergeCell ref="D32:H32"/>
    <mergeCell ref="B23:C23"/>
    <mergeCell ref="D23:L23"/>
    <mergeCell ref="D24:H24"/>
    <mergeCell ref="D25:H25"/>
    <mergeCell ref="D27:H27"/>
    <mergeCell ref="B28:K28"/>
    <mergeCell ref="B29:K29"/>
    <mergeCell ref="D26:H26"/>
    <mergeCell ref="D33:H33"/>
    <mergeCell ref="D34:H34"/>
    <mergeCell ref="B43:K43"/>
    <mergeCell ref="B44:K44"/>
    <mergeCell ref="D35:H35"/>
    <mergeCell ref="D36:H36"/>
    <mergeCell ref="D37:H37"/>
    <mergeCell ref="D38:H38"/>
    <mergeCell ref="D39:H39"/>
    <mergeCell ref="D40:H40"/>
    <mergeCell ref="D41:H41"/>
    <mergeCell ref="D42:H42"/>
    <mergeCell ref="B50:K50"/>
    <mergeCell ref="B51:K51"/>
    <mergeCell ref="B46:C46"/>
    <mergeCell ref="D46:L46"/>
    <mergeCell ref="D47:H47"/>
    <mergeCell ref="D48:H48"/>
    <mergeCell ref="D49:H49"/>
  </mergeCells>
  <pageMargins left="0.511811024" right="0.511811024" top="0.78740157499999996" bottom="0.78740157499999996" header="0.31496062000000002" footer="0.31496062000000002"/>
  <pageSetup paperSize="9" scale="65" orientation="portrait" r:id="rId1"/>
  <rowBreaks count="1" manualBreakCount="1">
    <brk id="5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"/>
  <sheetViews>
    <sheetView view="pageBreakPreview" zoomScale="80" zoomScaleNormal="100" zoomScaleSheetLayoutView="80" workbookViewId="0">
      <selection activeCell="R9" sqref="R9"/>
    </sheetView>
  </sheetViews>
  <sheetFormatPr defaultRowHeight="15" x14ac:dyDescent="0.25"/>
  <cols>
    <col min="1" max="1" width="5.5703125" customWidth="1"/>
    <col min="11" max="11" width="18.7109375" customWidth="1"/>
    <col min="12" max="12" width="20.42578125" customWidth="1"/>
    <col min="13" max="13" width="21.42578125" customWidth="1"/>
  </cols>
  <sheetData>
    <row r="1" spans="2:13" ht="15.75" thickBot="1" x14ac:dyDescent="0.3"/>
    <row r="2" spans="2:13" ht="15.75" thickBot="1" x14ac:dyDescent="0.3">
      <c r="B2" s="141" t="s">
        <v>39</v>
      </c>
      <c r="C2" s="142"/>
      <c r="D2" s="133" t="s">
        <v>108</v>
      </c>
      <c r="E2" s="133"/>
      <c r="F2" s="133"/>
      <c r="G2" s="133"/>
      <c r="H2" s="133"/>
      <c r="I2" s="133"/>
      <c r="J2" s="133"/>
      <c r="K2" s="133"/>
      <c r="L2" s="149"/>
      <c r="M2" s="140"/>
    </row>
    <row r="3" spans="2:13" ht="28.5" customHeight="1" x14ac:dyDescent="0.25">
      <c r="B3" s="35" t="s">
        <v>40</v>
      </c>
      <c r="C3" s="35" t="s">
        <v>41</v>
      </c>
      <c r="D3" s="122" t="s">
        <v>9</v>
      </c>
      <c r="E3" s="122"/>
      <c r="F3" s="122"/>
      <c r="G3" s="122"/>
      <c r="H3" s="122"/>
      <c r="I3" s="35" t="s">
        <v>42</v>
      </c>
      <c r="J3" s="35" t="s">
        <v>114</v>
      </c>
      <c r="K3" s="35" t="s">
        <v>43</v>
      </c>
      <c r="L3" s="38" t="s">
        <v>115</v>
      </c>
      <c r="M3" s="35" t="s">
        <v>44</v>
      </c>
    </row>
    <row r="4" spans="2:13" x14ac:dyDescent="0.25">
      <c r="B4" s="3" t="s">
        <v>22</v>
      </c>
      <c r="C4" s="3">
        <v>93568</v>
      </c>
      <c r="D4" s="137" t="s">
        <v>111</v>
      </c>
      <c r="E4" s="138"/>
      <c r="F4" s="138"/>
      <c r="G4" s="138"/>
      <c r="H4" s="139"/>
      <c r="I4" s="3">
        <v>1</v>
      </c>
      <c r="J4" s="3">
        <v>4</v>
      </c>
      <c r="K4" s="17">
        <v>24340.59</v>
      </c>
      <c r="L4" s="41">
        <v>0.33</v>
      </c>
      <c r="M4" s="17">
        <f>ROUND(K4*L4*J4,2)</f>
        <v>32129.58</v>
      </c>
    </row>
    <row r="5" spans="2:13" x14ac:dyDescent="0.25">
      <c r="B5" s="3" t="s">
        <v>22</v>
      </c>
      <c r="C5" s="3">
        <v>93572</v>
      </c>
      <c r="D5" s="137" t="s">
        <v>112</v>
      </c>
      <c r="E5" s="138"/>
      <c r="F5" s="138"/>
      <c r="G5" s="138"/>
      <c r="H5" s="139"/>
      <c r="I5" s="3">
        <v>1</v>
      </c>
      <c r="J5" s="3">
        <v>4</v>
      </c>
      <c r="K5" s="17">
        <v>10548.14</v>
      </c>
      <c r="L5" s="41">
        <v>0.5</v>
      </c>
      <c r="M5" s="17">
        <f t="shared" ref="M5:M6" si="0">ROUND(K5*L5*J5,2)</f>
        <v>21096.28</v>
      </c>
    </row>
    <row r="6" spans="2:13" x14ac:dyDescent="0.25">
      <c r="B6" s="3" t="s">
        <v>22</v>
      </c>
      <c r="C6" s="3">
        <v>93566</v>
      </c>
      <c r="D6" s="137" t="s">
        <v>113</v>
      </c>
      <c r="E6" s="138"/>
      <c r="F6" s="138"/>
      <c r="G6" s="138"/>
      <c r="H6" s="139"/>
      <c r="I6" s="3">
        <v>1</v>
      </c>
      <c r="J6" s="3">
        <v>4</v>
      </c>
      <c r="K6" s="17">
        <v>3993.13</v>
      </c>
      <c r="L6" s="41">
        <v>0.27</v>
      </c>
      <c r="M6" s="17">
        <f t="shared" si="0"/>
        <v>4312.58</v>
      </c>
    </row>
    <row r="7" spans="2:13" x14ac:dyDescent="0.25">
      <c r="B7" s="148" t="s">
        <v>102</v>
      </c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20">
        <f>M4+M5+M6</f>
        <v>57538.44</v>
      </c>
    </row>
    <row r="9" spans="2:13" ht="30" x14ac:dyDescent="0.25">
      <c r="B9" s="146" t="s">
        <v>116</v>
      </c>
      <c r="C9" s="146"/>
      <c r="D9" s="146"/>
      <c r="E9" s="146"/>
      <c r="F9" s="146"/>
      <c r="G9" s="146"/>
      <c r="H9" s="146"/>
      <c r="I9" s="146"/>
      <c r="J9" s="146"/>
      <c r="K9" s="18" t="s">
        <v>119</v>
      </c>
      <c r="L9" s="39" t="s">
        <v>117</v>
      </c>
      <c r="M9" s="39" t="s">
        <v>118</v>
      </c>
    </row>
    <row r="10" spans="2:13" x14ac:dyDescent="0.25">
      <c r="B10" s="147" t="str">
        <f>D4</f>
        <v>ENGENHEIRO CIVIL SÊNIOR C/ ENCARGOS COMPLEMENTARES</v>
      </c>
      <c r="C10" s="147"/>
      <c r="D10" s="147"/>
      <c r="E10" s="147"/>
      <c r="F10" s="147"/>
      <c r="G10" s="147"/>
      <c r="H10" s="147"/>
      <c r="I10" s="147"/>
      <c r="J10" s="147"/>
      <c r="K10" s="18">
        <v>30</v>
      </c>
      <c r="L10" s="40">
        <v>10</v>
      </c>
      <c r="M10" s="42">
        <f>L10/K10</f>
        <v>0.33333333333333331</v>
      </c>
    </row>
    <row r="11" spans="2:13" x14ac:dyDescent="0.25">
      <c r="B11" s="147" t="str">
        <f>D5</f>
        <v>ENCARREGADO GERAL DE OBRAS C/ ENCARGOS COMPLEMENTARES</v>
      </c>
      <c r="C11" s="147"/>
      <c r="D11" s="147"/>
      <c r="E11" s="147"/>
      <c r="F11" s="147"/>
      <c r="G11" s="147"/>
      <c r="H11" s="147"/>
      <c r="I11" s="147"/>
      <c r="J11" s="147"/>
      <c r="K11" s="18">
        <v>30</v>
      </c>
      <c r="L11" s="40">
        <v>15</v>
      </c>
      <c r="M11" s="42">
        <f t="shared" ref="M11:M12" si="1">L11/K11</f>
        <v>0.5</v>
      </c>
    </row>
    <row r="12" spans="2:13" x14ac:dyDescent="0.25">
      <c r="B12" s="147" t="str">
        <f>D6</f>
        <v>AUXILIAR DE ESCRITÓRIO C/ ENCARGOS COMPLEMENTARES</v>
      </c>
      <c r="C12" s="147"/>
      <c r="D12" s="147"/>
      <c r="E12" s="147"/>
      <c r="F12" s="147"/>
      <c r="G12" s="147"/>
      <c r="H12" s="147"/>
      <c r="I12" s="147"/>
      <c r="J12" s="147"/>
      <c r="K12" s="18">
        <v>30</v>
      </c>
      <c r="L12" s="40">
        <v>8</v>
      </c>
      <c r="M12" s="42">
        <f t="shared" si="1"/>
        <v>0.26666666666666666</v>
      </c>
    </row>
  </sheetData>
  <mergeCells count="11">
    <mergeCell ref="D6:H6"/>
    <mergeCell ref="B2:C2"/>
    <mergeCell ref="D2:M2"/>
    <mergeCell ref="D3:H3"/>
    <mergeCell ref="D4:H4"/>
    <mergeCell ref="D5:H5"/>
    <mergeCell ref="B9:J9"/>
    <mergeCell ref="B10:J10"/>
    <mergeCell ref="B11:J11"/>
    <mergeCell ref="B12:J12"/>
    <mergeCell ref="B7:L7"/>
  </mergeCells>
  <pageMargins left="0.511811024" right="0.511811024" top="0.78740157499999996" bottom="0.78740157499999996" header="0.31496062000000002" footer="0.31496062000000002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view="pageBreakPreview" zoomScale="80" zoomScaleNormal="80" zoomScaleSheetLayoutView="80" workbookViewId="0">
      <selection activeCell="V14" sqref="V14"/>
    </sheetView>
  </sheetViews>
  <sheetFormatPr defaultRowHeight="15" x14ac:dyDescent="0.25"/>
  <cols>
    <col min="8" max="8" width="16" customWidth="1"/>
    <col min="12" max="12" width="12.7109375" customWidth="1"/>
    <col min="13" max="13" width="12.85546875" customWidth="1"/>
    <col min="14" max="14" width="19.42578125" customWidth="1"/>
    <col min="15" max="15" width="17.5703125" customWidth="1"/>
    <col min="16" max="16" width="19.42578125" customWidth="1"/>
  </cols>
  <sheetData>
    <row r="1" spans="1:16" x14ac:dyDescent="0.25">
      <c r="A1" s="155" t="s">
        <v>280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</row>
    <row r="2" spans="1:16" x14ac:dyDescent="0.25">
      <c r="A2" s="156" t="s">
        <v>281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</row>
    <row r="3" spans="1:16" x14ac:dyDescent="0.25">
      <c r="A3" s="156" t="s">
        <v>298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</row>
    <row r="4" spans="1:16" x14ac:dyDescent="0.25">
      <c r="A4" s="151" t="s">
        <v>282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</row>
    <row r="5" spans="1:16" x14ac:dyDescent="0.25">
      <c r="A5" s="152" t="s">
        <v>299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</row>
    <row r="6" spans="1:16" ht="45" x14ac:dyDescent="0.25">
      <c r="A6" s="57" t="s">
        <v>6</v>
      </c>
      <c r="B6" s="153" t="s">
        <v>283</v>
      </c>
      <c r="C6" s="153"/>
      <c r="D6" s="153"/>
      <c r="E6" s="153"/>
      <c r="F6" s="57" t="s">
        <v>7</v>
      </c>
      <c r="G6" s="57" t="s">
        <v>8</v>
      </c>
      <c r="H6" s="58" t="s">
        <v>284</v>
      </c>
      <c r="I6" s="57" t="s">
        <v>285</v>
      </c>
      <c r="J6" s="57" t="s">
        <v>286</v>
      </c>
      <c r="K6" s="58" t="s">
        <v>287</v>
      </c>
      <c r="L6" s="58" t="s">
        <v>288</v>
      </c>
      <c r="M6" s="59" t="s">
        <v>289</v>
      </c>
      <c r="N6" s="57" t="s">
        <v>290</v>
      </c>
      <c r="O6" s="57" t="s">
        <v>291</v>
      </c>
      <c r="P6" s="59" t="s">
        <v>292</v>
      </c>
    </row>
    <row r="7" spans="1:16" x14ac:dyDescent="0.25">
      <c r="A7" s="60" t="s">
        <v>14</v>
      </c>
      <c r="B7" s="154" t="s">
        <v>300</v>
      </c>
      <c r="C7" s="154"/>
      <c r="D7" s="154"/>
      <c r="E7" s="154"/>
      <c r="F7" s="60" t="s">
        <v>293</v>
      </c>
      <c r="G7" s="60" t="s">
        <v>301</v>
      </c>
      <c r="H7" s="60">
        <v>1</v>
      </c>
      <c r="I7" s="60" t="s">
        <v>295</v>
      </c>
      <c r="J7" s="60" t="s">
        <v>296</v>
      </c>
      <c r="K7" s="61">
        <f>51.8*2</f>
        <v>103.6</v>
      </c>
      <c r="L7" s="62">
        <v>60</v>
      </c>
      <c r="M7" s="61">
        <f>ROUND(K7/L7,2)</f>
        <v>1.73</v>
      </c>
      <c r="N7" s="63">
        <v>165.72</v>
      </c>
      <c r="O7" s="64">
        <f t="shared" ref="O7:O10" si="0">ROUND(M7*N7,2)</f>
        <v>286.7</v>
      </c>
      <c r="P7" s="60" t="s">
        <v>302</v>
      </c>
    </row>
    <row r="8" spans="1:16" ht="31.5" customHeight="1" x14ac:dyDescent="0.25">
      <c r="A8" s="60" t="s">
        <v>19</v>
      </c>
      <c r="B8" s="150" t="s">
        <v>303</v>
      </c>
      <c r="C8" s="150"/>
      <c r="D8" s="150"/>
      <c r="E8" s="150"/>
      <c r="F8" s="60" t="s">
        <v>293</v>
      </c>
      <c r="G8" s="60" t="s">
        <v>294</v>
      </c>
      <c r="H8" s="60">
        <v>1</v>
      </c>
      <c r="I8" s="60" t="s">
        <v>295</v>
      </c>
      <c r="J8" s="60" t="s">
        <v>296</v>
      </c>
      <c r="K8" s="61">
        <f>51.8</f>
        <v>51.8</v>
      </c>
      <c r="L8" s="62">
        <v>60</v>
      </c>
      <c r="M8" s="61">
        <f t="shared" ref="M8:M10" si="1">ROUND(K8/L8,2)</f>
        <v>0.86</v>
      </c>
      <c r="N8" s="63">
        <v>298.77999999999997</v>
      </c>
      <c r="O8" s="64">
        <f t="shared" si="0"/>
        <v>256.95</v>
      </c>
      <c r="P8" s="60" t="s">
        <v>307</v>
      </c>
    </row>
    <row r="9" spans="1:16" ht="42" customHeight="1" x14ac:dyDescent="0.25">
      <c r="A9" s="60" t="s">
        <v>21</v>
      </c>
      <c r="B9" s="150" t="s">
        <v>304</v>
      </c>
      <c r="C9" s="150"/>
      <c r="D9" s="150"/>
      <c r="E9" s="150"/>
      <c r="F9" s="60" t="s">
        <v>293</v>
      </c>
      <c r="G9" s="60">
        <v>9372</v>
      </c>
      <c r="H9" s="60">
        <v>1</v>
      </c>
      <c r="I9" s="60" t="s">
        <v>295</v>
      </c>
      <c r="J9" s="60" t="s">
        <v>296</v>
      </c>
      <c r="K9" s="61">
        <v>51.8</v>
      </c>
      <c r="L9" s="62">
        <v>60</v>
      </c>
      <c r="M9" s="61">
        <f t="shared" si="1"/>
        <v>0.86</v>
      </c>
      <c r="N9" s="63">
        <v>55.61</v>
      </c>
      <c r="O9" s="64">
        <f t="shared" si="0"/>
        <v>47.82</v>
      </c>
      <c r="P9" s="60" t="s">
        <v>307</v>
      </c>
    </row>
    <row r="10" spans="1:16" ht="34.5" customHeight="1" x14ac:dyDescent="0.25">
      <c r="A10" s="60" t="s">
        <v>297</v>
      </c>
      <c r="B10" s="150" t="s">
        <v>305</v>
      </c>
      <c r="C10" s="150"/>
      <c r="D10" s="150"/>
      <c r="E10" s="150"/>
      <c r="F10" s="60" t="s">
        <v>293</v>
      </c>
      <c r="G10" s="60" t="s">
        <v>306</v>
      </c>
      <c r="H10" s="60">
        <v>1</v>
      </c>
      <c r="I10" s="60" t="s">
        <v>295</v>
      </c>
      <c r="J10" s="60" t="s">
        <v>296</v>
      </c>
      <c r="K10" s="61">
        <v>51.8</v>
      </c>
      <c r="L10" s="62">
        <v>60</v>
      </c>
      <c r="M10" s="61">
        <f t="shared" si="1"/>
        <v>0.86</v>
      </c>
      <c r="N10" s="63">
        <v>377.17</v>
      </c>
      <c r="O10" s="64">
        <f t="shared" si="0"/>
        <v>324.37</v>
      </c>
      <c r="P10" s="60" t="s">
        <v>307</v>
      </c>
    </row>
    <row r="11" spans="1:16" x14ac:dyDescent="0.25">
      <c r="O11" s="72">
        <f>SUM(O7:O10)</f>
        <v>915.84</v>
      </c>
    </row>
    <row r="13" spans="1:16" x14ac:dyDescent="0.25">
      <c r="A13" s="151" t="s">
        <v>308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</row>
    <row r="14" spans="1:16" x14ac:dyDescent="0.25">
      <c r="A14" s="152" t="s">
        <v>299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</row>
    <row r="15" spans="1:16" ht="45" x14ac:dyDescent="0.25">
      <c r="A15" s="57" t="s">
        <v>6</v>
      </c>
      <c r="B15" s="153" t="s">
        <v>283</v>
      </c>
      <c r="C15" s="153"/>
      <c r="D15" s="153"/>
      <c r="E15" s="153"/>
      <c r="F15" s="57" t="s">
        <v>7</v>
      </c>
      <c r="G15" s="57" t="s">
        <v>8</v>
      </c>
      <c r="H15" s="58" t="s">
        <v>284</v>
      </c>
      <c r="I15" s="57" t="s">
        <v>285</v>
      </c>
      <c r="J15" s="57" t="s">
        <v>286</v>
      </c>
      <c r="K15" s="58" t="s">
        <v>287</v>
      </c>
      <c r="L15" s="58" t="s">
        <v>288</v>
      </c>
      <c r="M15" s="59" t="s">
        <v>289</v>
      </c>
      <c r="N15" s="57" t="s">
        <v>290</v>
      </c>
      <c r="O15" s="57" t="s">
        <v>291</v>
      </c>
      <c r="P15" s="59" t="s">
        <v>292</v>
      </c>
    </row>
    <row r="16" spans="1:16" x14ac:dyDescent="0.25">
      <c r="A16" s="60" t="s">
        <v>14</v>
      </c>
      <c r="B16" s="154" t="s">
        <v>300</v>
      </c>
      <c r="C16" s="154"/>
      <c r="D16" s="154"/>
      <c r="E16" s="154"/>
      <c r="F16" s="60" t="s">
        <v>293</v>
      </c>
      <c r="G16" s="60" t="s">
        <v>301</v>
      </c>
      <c r="H16" s="60">
        <v>1</v>
      </c>
      <c r="I16" s="60" t="s">
        <v>295</v>
      </c>
      <c r="J16" s="60" t="s">
        <v>296</v>
      </c>
      <c r="K16" s="61">
        <f>51.8*2</f>
        <v>103.6</v>
      </c>
      <c r="L16" s="62">
        <v>60</v>
      </c>
      <c r="M16" s="61">
        <f>ROUND(K16/L16,2)</f>
        <v>1.73</v>
      </c>
      <c r="N16" s="63">
        <v>165.72</v>
      </c>
      <c r="O16" s="64">
        <f t="shared" ref="O16:O19" si="2">ROUND(M16*N16,2)</f>
        <v>286.7</v>
      </c>
      <c r="P16" s="60" t="s">
        <v>302</v>
      </c>
    </row>
    <row r="17" spans="1:16" ht="33.75" customHeight="1" x14ac:dyDescent="0.25">
      <c r="A17" s="60" t="s">
        <v>19</v>
      </c>
      <c r="B17" s="150" t="s">
        <v>303</v>
      </c>
      <c r="C17" s="150"/>
      <c r="D17" s="150"/>
      <c r="E17" s="150"/>
      <c r="F17" s="60" t="s">
        <v>293</v>
      </c>
      <c r="G17" s="60" t="s">
        <v>294</v>
      </c>
      <c r="H17" s="60">
        <v>1</v>
      </c>
      <c r="I17" s="60" t="s">
        <v>295</v>
      </c>
      <c r="J17" s="60" t="s">
        <v>296</v>
      </c>
      <c r="K17" s="61">
        <f>51.8</f>
        <v>51.8</v>
      </c>
      <c r="L17" s="62">
        <v>60</v>
      </c>
      <c r="M17" s="61">
        <f t="shared" ref="M17:M19" si="3">ROUND(K17/L17,2)</f>
        <v>0.86</v>
      </c>
      <c r="N17" s="63">
        <v>298.77999999999997</v>
      </c>
      <c r="O17" s="64">
        <f t="shared" si="2"/>
        <v>256.95</v>
      </c>
      <c r="P17" s="60" t="s">
        <v>307</v>
      </c>
    </row>
    <row r="18" spans="1:16" ht="47.25" customHeight="1" x14ac:dyDescent="0.25">
      <c r="A18" s="60" t="s">
        <v>21</v>
      </c>
      <c r="B18" s="150" t="s">
        <v>304</v>
      </c>
      <c r="C18" s="150"/>
      <c r="D18" s="150"/>
      <c r="E18" s="150"/>
      <c r="F18" s="60" t="s">
        <v>293</v>
      </c>
      <c r="G18" s="60">
        <v>9372</v>
      </c>
      <c r="H18" s="60">
        <v>1</v>
      </c>
      <c r="I18" s="60" t="s">
        <v>295</v>
      </c>
      <c r="J18" s="60" t="s">
        <v>296</v>
      </c>
      <c r="K18" s="61">
        <v>51.8</v>
      </c>
      <c r="L18" s="62">
        <v>60</v>
      </c>
      <c r="M18" s="61">
        <f t="shared" si="3"/>
        <v>0.86</v>
      </c>
      <c r="N18" s="63">
        <v>55.61</v>
      </c>
      <c r="O18" s="64">
        <f t="shared" si="2"/>
        <v>47.82</v>
      </c>
      <c r="P18" s="60" t="s">
        <v>307</v>
      </c>
    </row>
    <row r="19" spans="1:16" ht="30.75" customHeight="1" x14ac:dyDescent="0.25">
      <c r="A19" s="60" t="s">
        <v>297</v>
      </c>
      <c r="B19" s="150" t="s">
        <v>305</v>
      </c>
      <c r="C19" s="150"/>
      <c r="D19" s="150"/>
      <c r="E19" s="150"/>
      <c r="F19" s="60" t="s">
        <v>293</v>
      </c>
      <c r="G19" s="60" t="s">
        <v>306</v>
      </c>
      <c r="H19" s="60">
        <v>1</v>
      </c>
      <c r="I19" s="60" t="s">
        <v>295</v>
      </c>
      <c r="J19" s="60" t="s">
        <v>296</v>
      </c>
      <c r="K19" s="61">
        <v>51.8</v>
      </c>
      <c r="L19" s="62">
        <v>60</v>
      </c>
      <c r="M19" s="61">
        <f t="shared" si="3"/>
        <v>0.86</v>
      </c>
      <c r="N19" s="63">
        <v>377.17</v>
      </c>
      <c r="O19" s="64">
        <f t="shared" si="2"/>
        <v>324.37</v>
      </c>
      <c r="P19" s="60" t="s">
        <v>307</v>
      </c>
    </row>
    <row r="20" spans="1:16" x14ac:dyDescent="0.25">
      <c r="O20" s="72">
        <f>SUM(O16:O19)</f>
        <v>915.84</v>
      </c>
    </row>
  </sheetData>
  <mergeCells count="17">
    <mergeCell ref="A1:P1"/>
    <mergeCell ref="A2:P2"/>
    <mergeCell ref="A3:P3"/>
    <mergeCell ref="A4:P4"/>
    <mergeCell ref="A5:P5"/>
    <mergeCell ref="B6:E6"/>
    <mergeCell ref="B7:E7"/>
    <mergeCell ref="B8:E8"/>
    <mergeCell ref="B9:E9"/>
    <mergeCell ref="B16:E16"/>
    <mergeCell ref="B17:E17"/>
    <mergeCell ref="B18:E18"/>
    <mergeCell ref="B19:E19"/>
    <mergeCell ref="B10:E10"/>
    <mergeCell ref="A13:P13"/>
    <mergeCell ref="A14:P14"/>
    <mergeCell ref="B15:E15"/>
  </mergeCells>
  <pageMargins left="0.511811024" right="0.511811024" top="0.78740157499999996" bottom="0.78740157499999996" header="0.31496062000000002" footer="0.31496062000000002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"/>
  <sheetViews>
    <sheetView view="pageBreakPreview" zoomScaleNormal="100" zoomScaleSheetLayoutView="100" workbookViewId="0">
      <selection activeCell="S142" sqref="S142"/>
    </sheetView>
  </sheetViews>
  <sheetFormatPr defaultRowHeight="15" x14ac:dyDescent="0.25"/>
  <cols>
    <col min="2" max="2" width="20.7109375" customWidth="1"/>
    <col min="3" max="3" width="10.140625" customWidth="1"/>
    <col min="9" max="9" width="9.85546875" customWidth="1"/>
  </cols>
  <sheetData>
    <row r="1" spans="1:9" ht="15.75" x14ac:dyDescent="0.25">
      <c r="A1" s="157" t="s">
        <v>372</v>
      </c>
      <c r="B1" s="157"/>
      <c r="C1" s="157"/>
      <c r="D1" s="157"/>
      <c r="E1" s="157"/>
      <c r="F1" s="157"/>
      <c r="G1" s="157"/>
      <c r="H1" s="157"/>
      <c r="I1" s="157"/>
    </row>
    <row r="3" spans="1:9" x14ac:dyDescent="0.25">
      <c r="A3" s="165" t="str">
        <f>ORÇAMENTO!B18</f>
        <v>2.2.2</v>
      </c>
      <c r="B3" s="166" t="str">
        <f>ORÇAMENTO!E18</f>
        <v>LOCAÇÃO CONVENCIONAL DE OBRA, UTILIZANDO GABARITO DE TÁBUAS CORRIDAS</v>
      </c>
      <c r="C3" s="166"/>
      <c r="D3" s="166"/>
      <c r="E3" s="166"/>
      <c r="F3" s="166"/>
      <c r="G3" s="166"/>
      <c r="H3" s="166"/>
      <c r="I3" s="166"/>
    </row>
    <row r="5" spans="1:9" x14ac:dyDescent="0.25">
      <c r="A5" s="147" t="s">
        <v>373</v>
      </c>
      <c r="B5" s="147"/>
      <c r="C5" s="101">
        <v>6</v>
      </c>
      <c r="E5" s="158" t="s">
        <v>377</v>
      </c>
      <c r="F5" s="158"/>
      <c r="G5" s="158"/>
      <c r="H5" s="158"/>
      <c r="I5" s="158"/>
    </row>
    <row r="6" spans="1:9" x14ac:dyDescent="0.25">
      <c r="A6" s="147" t="s">
        <v>374</v>
      </c>
      <c r="B6" s="147"/>
      <c r="C6" s="101">
        <v>36</v>
      </c>
      <c r="E6" s="158"/>
      <c r="F6" s="158"/>
      <c r="G6" s="158"/>
      <c r="H6" s="158"/>
      <c r="I6" s="158"/>
    </row>
    <row r="7" spans="1:9" x14ac:dyDescent="0.25">
      <c r="A7" s="159" t="s">
        <v>375</v>
      </c>
      <c r="B7" s="159"/>
      <c r="C7" s="101">
        <f>C5+C6+C5+C6</f>
        <v>84</v>
      </c>
    </row>
    <row r="8" spans="1:9" x14ac:dyDescent="0.25">
      <c r="A8" s="160" t="s">
        <v>376</v>
      </c>
      <c r="B8" s="160"/>
      <c r="C8" s="161">
        <f>C7+8</f>
        <v>92</v>
      </c>
    </row>
    <row r="10" spans="1:9" ht="15" customHeight="1" x14ac:dyDescent="0.25">
      <c r="A10" s="163" t="str">
        <f>ORÇAMENTO!B25</f>
        <v>3.1.3</v>
      </c>
      <c r="B10" s="164" t="str">
        <f>ORÇAMENTO!E25</f>
        <v>LOCAÇÃO DE GRUPO GERADOR 80 A 125 KVA, MOTOR A DIESEL, REBOCAVEL, ACIONAMENTO MANUAL, INCLUSO COMBUSTIVEL S-10 OU S-500</v>
      </c>
      <c r="C10" s="164"/>
      <c r="D10" s="164"/>
      <c r="E10" s="164"/>
      <c r="F10" s="164"/>
      <c r="G10" s="164"/>
      <c r="H10" s="164"/>
      <c r="I10" s="164"/>
    </row>
    <row r="11" spans="1:9" x14ac:dyDescent="0.25">
      <c r="A11" s="163"/>
      <c r="B11" s="164"/>
      <c r="C11" s="164"/>
      <c r="D11" s="164"/>
      <c r="E11" s="164"/>
      <c r="F11" s="164"/>
      <c r="G11" s="164"/>
      <c r="H11" s="164"/>
      <c r="I11" s="164"/>
    </row>
    <row r="13" spans="1:9" x14ac:dyDescent="0.25">
      <c r="A13" s="147" t="s">
        <v>378</v>
      </c>
      <c r="B13" s="147"/>
      <c r="C13" s="101">
        <v>120</v>
      </c>
    </row>
    <row r="14" spans="1:9" x14ac:dyDescent="0.25">
      <c r="A14" s="147" t="s">
        <v>379</v>
      </c>
      <c r="B14" s="147"/>
      <c r="C14" s="101">
        <v>4</v>
      </c>
    </row>
    <row r="15" spans="1:9" x14ac:dyDescent="0.25">
      <c r="A15" s="160" t="s">
        <v>380</v>
      </c>
      <c r="B15" s="160"/>
      <c r="C15" s="161">
        <f>C13*C14</f>
        <v>480</v>
      </c>
    </row>
    <row r="17" spans="1:9" x14ac:dyDescent="0.25">
      <c r="A17" s="163" t="str">
        <f>ORÇAMENTO!B31</f>
        <v>4.1.3</v>
      </c>
      <c r="B17" s="164" t="str">
        <f>ORÇAMENTO!E31</f>
        <v xml:space="preserve">PERFURATRIZ PARA FURO EM ROCHA COM CAPACIDADE ATÉ 89 KN, POTÊNCIA 24,8 HP A 80 HP - INCLUSO FERRAMENTAS E LOCALIZADOR </v>
      </c>
      <c r="C17" s="164"/>
      <c r="D17" s="164"/>
      <c r="E17" s="164"/>
      <c r="F17" s="164"/>
      <c r="G17" s="164"/>
      <c r="H17" s="164"/>
      <c r="I17" s="164"/>
    </row>
    <row r="18" spans="1:9" x14ac:dyDescent="0.25">
      <c r="A18" s="163"/>
      <c r="B18" s="164"/>
      <c r="C18" s="164"/>
      <c r="D18" s="164"/>
      <c r="E18" s="164"/>
      <c r="F18" s="164"/>
      <c r="G18" s="164"/>
      <c r="H18" s="164"/>
      <c r="I18" s="164"/>
    </row>
    <row r="20" spans="1:9" x14ac:dyDescent="0.25">
      <c r="A20" s="147" t="s">
        <v>381</v>
      </c>
      <c r="B20" s="147"/>
      <c r="C20" s="101">
        <v>288</v>
      </c>
      <c r="E20" s="158" t="s">
        <v>384</v>
      </c>
      <c r="F20" s="158"/>
      <c r="G20" s="158"/>
      <c r="H20" s="158"/>
      <c r="I20" s="158"/>
    </row>
    <row r="21" spans="1:9" x14ac:dyDescent="0.25">
      <c r="A21" s="147" t="s">
        <v>382</v>
      </c>
      <c r="B21" s="147"/>
      <c r="C21" s="167">
        <v>0.27800000000000002</v>
      </c>
      <c r="E21" s="158"/>
      <c r="F21" s="158"/>
      <c r="G21" s="158"/>
      <c r="H21" s="158"/>
      <c r="I21" s="158"/>
    </row>
    <row r="22" spans="1:9" x14ac:dyDescent="0.25">
      <c r="A22" s="160" t="s">
        <v>383</v>
      </c>
      <c r="B22" s="160"/>
      <c r="C22" s="168">
        <v>80</v>
      </c>
      <c r="E22" s="158"/>
      <c r="F22" s="158"/>
      <c r="G22" s="158"/>
      <c r="H22" s="158"/>
      <c r="I22" s="158"/>
    </row>
    <row r="24" spans="1:9" x14ac:dyDescent="0.25">
      <c r="A24" s="163" t="str">
        <f>ORÇAMENTO!B35</f>
        <v>4.2.1</v>
      </c>
      <c r="B24" s="164" t="str">
        <f>ORÇAMENTO!E35</f>
        <v>ESCAVAÇÃO MANUAL PARA BLOCO DE COROAMENTO (INCLUINDO ESCAVAÇÃO PARA COLOCAÇÃO DE FÔRMAS)</v>
      </c>
      <c r="C24" s="164"/>
      <c r="D24" s="164"/>
      <c r="E24" s="164"/>
      <c r="F24" s="164"/>
      <c r="G24" s="164"/>
      <c r="H24" s="164"/>
      <c r="I24" s="164"/>
    </row>
    <row r="25" spans="1:9" x14ac:dyDescent="0.25">
      <c r="A25" s="163"/>
      <c r="B25" s="164"/>
      <c r="C25" s="164"/>
      <c r="D25" s="164"/>
      <c r="E25" s="164"/>
      <c r="F25" s="164"/>
      <c r="G25" s="164"/>
      <c r="H25" s="164"/>
      <c r="I25" s="164"/>
    </row>
    <row r="27" spans="1:9" ht="15" customHeight="1" x14ac:dyDescent="0.25">
      <c r="A27" s="147" t="s">
        <v>386</v>
      </c>
      <c r="B27" s="147"/>
      <c r="C27" s="169">
        <v>9.5</v>
      </c>
      <c r="E27" s="170" t="s">
        <v>389</v>
      </c>
      <c r="F27" s="171"/>
      <c r="G27" s="171"/>
      <c r="H27" s="171"/>
      <c r="I27" s="172"/>
    </row>
    <row r="28" spans="1:9" x14ac:dyDescent="0.25">
      <c r="A28" s="147" t="s">
        <v>373</v>
      </c>
      <c r="B28" s="147"/>
      <c r="C28" s="169">
        <v>5</v>
      </c>
      <c r="E28" s="176"/>
      <c r="F28" s="162"/>
      <c r="G28" s="162"/>
      <c r="H28" s="162"/>
      <c r="I28" s="177"/>
    </row>
    <row r="29" spans="1:9" x14ac:dyDescent="0.25">
      <c r="A29" s="147" t="s">
        <v>387</v>
      </c>
      <c r="B29" s="147"/>
      <c r="C29" s="169">
        <v>0.6</v>
      </c>
      <c r="E29" s="173"/>
      <c r="F29" s="174"/>
      <c r="G29" s="174"/>
      <c r="H29" s="174"/>
      <c r="I29" s="175"/>
    </row>
    <row r="30" spans="1:9" ht="15" customHeight="1" x14ac:dyDescent="0.25">
      <c r="A30" s="147" t="s">
        <v>385</v>
      </c>
      <c r="B30" s="147"/>
      <c r="C30" s="169">
        <f>C27*C28*C29</f>
        <v>28.5</v>
      </c>
    </row>
    <row r="31" spans="1:9" x14ac:dyDescent="0.25">
      <c r="A31" s="160" t="s">
        <v>388</v>
      </c>
      <c r="B31" s="160"/>
      <c r="C31" s="161">
        <f>C30*2</f>
        <v>57</v>
      </c>
    </row>
    <row r="33" spans="1:9" x14ac:dyDescent="0.25">
      <c r="A33" s="163" t="str">
        <f>ORÇAMENTO!B36</f>
        <v>4.2.2</v>
      </c>
      <c r="B33" s="164" t="str">
        <f>ORÇAMENTO!E36</f>
        <v>MOTOBOMBA TRASH (PARA ÁGUA SUJA) AUTOESCOVANTE, MOTOR A GASOLINA DE 6,41 HP, DIÂMETRO DE SUCÇÃO X RECALQUE (3" X 3"), 60 M3/H A 23 MCA</v>
      </c>
      <c r="C33" s="164"/>
      <c r="D33" s="164"/>
      <c r="E33" s="164"/>
      <c r="F33" s="164"/>
      <c r="G33" s="164"/>
      <c r="H33" s="164"/>
      <c r="I33" s="164"/>
    </row>
    <row r="34" spans="1:9" x14ac:dyDescent="0.25">
      <c r="A34" s="163"/>
      <c r="B34" s="164"/>
      <c r="C34" s="164"/>
      <c r="D34" s="164"/>
      <c r="E34" s="164"/>
      <c r="F34" s="164"/>
      <c r="G34" s="164"/>
      <c r="H34" s="164"/>
      <c r="I34" s="164"/>
    </row>
    <row r="36" spans="1:9" ht="28.5" customHeight="1" x14ac:dyDescent="0.25">
      <c r="A36" s="158" t="s">
        <v>390</v>
      </c>
      <c r="B36" s="158"/>
      <c r="C36" s="101">
        <v>12.5</v>
      </c>
      <c r="E36" s="158" t="s">
        <v>391</v>
      </c>
      <c r="F36" s="158"/>
      <c r="G36" s="158"/>
      <c r="H36" s="158"/>
      <c r="I36" s="158"/>
    </row>
    <row r="37" spans="1:9" x14ac:dyDescent="0.25">
      <c r="A37" s="147" t="s">
        <v>392</v>
      </c>
      <c r="B37" s="147"/>
      <c r="C37" s="169">
        <v>8</v>
      </c>
      <c r="E37" s="158"/>
      <c r="F37" s="158"/>
      <c r="G37" s="158"/>
      <c r="H37" s="158"/>
      <c r="I37" s="158"/>
    </row>
    <row r="38" spans="1:9" ht="27.75" customHeight="1" x14ac:dyDescent="0.25">
      <c r="A38" s="158" t="s">
        <v>393</v>
      </c>
      <c r="B38" s="158"/>
      <c r="C38" s="101">
        <f>C36*C37</f>
        <v>100</v>
      </c>
    </row>
    <row r="39" spans="1:9" ht="14.25" customHeight="1" x14ac:dyDescent="0.25">
      <c r="A39" s="147" t="s">
        <v>394</v>
      </c>
      <c r="B39" s="147"/>
      <c r="C39" s="101">
        <f>C38*0.5</f>
        <v>50</v>
      </c>
    </row>
    <row r="40" spans="1:9" x14ac:dyDescent="0.25">
      <c r="A40" s="178" t="s">
        <v>395</v>
      </c>
      <c r="B40" s="178"/>
      <c r="C40" s="161">
        <f>C39*2</f>
        <v>100</v>
      </c>
    </row>
    <row r="42" spans="1:9" x14ac:dyDescent="0.25">
      <c r="A42" s="163" t="str">
        <f>ORÇAMENTO!B41</f>
        <v>4.2.7</v>
      </c>
      <c r="B42" s="164" t="str">
        <f>ORÇAMENTO!E41</f>
        <v>FABRICAÇÃO, MONTAGEM E DESMONTAGEM DE FÔRMA PARA BLOCO DE COROAMENTO EM MADEIRA SERRADA, ESP: 25 MM, 4 UTILIZAÇÕES</v>
      </c>
      <c r="C42" s="164"/>
      <c r="D42" s="164"/>
      <c r="E42" s="164"/>
      <c r="F42" s="164"/>
      <c r="G42" s="164"/>
      <c r="H42" s="164"/>
      <c r="I42" s="164"/>
    </row>
    <row r="43" spans="1:9" x14ac:dyDescent="0.25">
      <c r="A43" s="163"/>
      <c r="B43" s="164"/>
      <c r="C43" s="164"/>
      <c r="D43" s="164"/>
      <c r="E43" s="164"/>
      <c r="F43" s="164"/>
      <c r="G43" s="164"/>
      <c r="H43" s="164"/>
      <c r="I43" s="164"/>
    </row>
    <row r="45" spans="1:9" x14ac:dyDescent="0.25">
      <c r="A45" s="180" t="s">
        <v>399</v>
      </c>
      <c r="B45" s="180"/>
      <c r="C45" s="180"/>
      <c r="D45" s="180"/>
      <c r="E45" s="180"/>
      <c r="F45" s="180"/>
      <c r="G45" s="180"/>
      <c r="H45" s="180"/>
      <c r="I45" s="180"/>
    </row>
    <row r="46" spans="1:9" x14ac:dyDescent="0.25">
      <c r="A46" s="147" t="s">
        <v>386</v>
      </c>
      <c r="B46" s="147"/>
      <c r="C46" s="101">
        <v>9.5</v>
      </c>
    </row>
    <row r="47" spans="1:9" x14ac:dyDescent="0.25">
      <c r="A47" s="147" t="s">
        <v>373</v>
      </c>
      <c r="B47" s="147"/>
      <c r="C47" s="101">
        <v>5</v>
      </c>
    </row>
    <row r="48" spans="1:9" x14ac:dyDescent="0.25">
      <c r="A48" s="147" t="s">
        <v>387</v>
      </c>
      <c r="B48" s="147"/>
      <c r="C48" s="101">
        <v>0.6</v>
      </c>
    </row>
    <row r="49" spans="1:9" x14ac:dyDescent="0.25">
      <c r="A49" s="147" t="s">
        <v>396</v>
      </c>
      <c r="B49" s="147"/>
      <c r="C49" s="101">
        <f>(C46*C48*2)+(C47*C48*2)</f>
        <v>17.399999999999999</v>
      </c>
    </row>
    <row r="50" spans="1:9" x14ac:dyDescent="0.25">
      <c r="A50" s="147" t="s">
        <v>397</v>
      </c>
      <c r="B50" s="147"/>
      <c r="C50" s="101">
        <f>C49*2</f>
        <v>34.799999999999997</v>
      </c>
    </row>
    <row r="52" spans="1:9" x14ac:dyDescent="0.25">
      <c r="A52" s="180" t="s">
        <v>398</v>
      </c>
      <c r="B52" s="180"/>
      <c r="C52" s="180"/>
      <c r="D52" s="180"/>
      <c r="E52" s="180"/>
      <c r="F52" s="180"/>
      <c r="G52" s="180"/>
      <c r="H52" s="180"/>
      <c r="I52" s="180"/>
    </row>
    <row r="53" spans="1:9" x14ac:dyDescent="0.25">
      <c r="A53" s="147" t="s">
        <v>386</v>
      </c>
      <c r="B53" s="147"/>
      <c r="C53" s="101">
        <v>7.4</v>
      </c>
    </row>
    <row r="54" spans="1:9" x14ac:dyDescent="0.25">
      <c r="A54" s="147" t="s">
        <v>373</v>
      </c>
      <c r="B54" s="147"/>
      <c r="C54" s="101">
        <v>2.4</v>
      </c>
    </row>
    <row r="55" spans="1:9" x14ac:dyDescent="0.25">
      <c r="A55" s="147" t="s">
        <v>387</v>
      </c>
      <c r="B55" s="147"/>
      <c r="C55" s="101">
        <v>1</v>
      </c>
    </row>
    <row r="56" spans="1:9" x14ac:dyDescent="0.25">
      <c r="A56" s="147" t="s">
        <v>400</v>
      </c>
      <c r="B56" s="147"/>
      <c r="C56" s="101">
        <f>(C53*C55*2)+(C54*C55*2)</f>
        <v>19.600000000000001</v>
      </c>
    </row>
    <row r="58" spans="1:9" x14ac:dyDescent="0.25">
      <c r="A58" s="160" t="s">
        <v>401</v>
      </c>
      <c r="B58" s="160"/>
      <c r="C58" s="179">
        <f>C50+C56</f>
        <v>54.4</v>
      </c>
    </row>
    <row r="60" spans="1:9" x14ac:dyDescent="0.25">
      <c r="A60" s="163" t="str">
        <f>ORÇAMENTO!B48</f>
        <v>5.1.1</v>
      </c>
      <c r="B60" s="164" t="str">
        <f>ORÇAMENTO!E48</f>
        <v>FABRICAÇÃO, MONTAGEM E DESMONTAGEM DE FÔRMA PARA CORTINA DE CONTENÇÃO EM CHAPA DE MADEIRA COMPENSADA PLASTIFICADA, ESP: 18 MM, 10 UTILIZAÇÕES</v>
      </c>
      <c r="C60" s="164"/>
      <c r="D60" s="164"/>
      <c r="E60" s="164"/>
      <c r="F60" s="164"/>
      <c r="G60" s="164"/>
      <c r="H60" s="164"/>
      <c r="I60" s="164"/>
    </row>
    <row r="61" spans="1:9" x14ac:dyDescent="0.25">
      <c r="A61" s="163"/>
      <c r="B61" s="164"/>
      <c r="C61" s="164"/>
      <c r="D61" s="164"/>
      <c r="E61" s="164"/>
      <c r="F61" s="164"/>
      <c r="G61" s="164"/>
      <c r="H61" s="164"/>
      <c r="I61" s="164"/>
    </row>
    <row r="63" spans="1:9" x14ac:dyDescent="0.25">
      <c r="A63" s="147" t="s">
        <v>386</v>
      </c>
      <c r="B63" s="147"/>
      <c r="C63" s="101">
        <v>7.5</v>
      </c>
    </row>
    <row r="64" spans="1:9" x14ac:dyDescent="0.25">
      <c r="A64" s="147" t="s">
        <v>373</v>
      </c>
      <c r="B64" s="147"/>
      <c r="C64" s="101">
        <v>4</v>
      </c>
    </row>
    <row r="65" spans="1:9" x14ac:dyDescent="0.25">
      <c r="A65" s="147" t="s">
        <v>387</v>
      </c>
      <c r="B65" s="147"/>
      <c r="C65" s="101">
        <v>7</v>
      </c>
    </row>
    <row r="67" spans="1:9" x14ac:dyDescent="0.25">
      <c r="A67" s="147" t="s">
        <v>402</v>
      </c>
      <c r="B67" s="147"/>
      <c r="C67" s="101">
        <f>C63*C65</f>
        <v>52.5</v>
      </c>
    </row>
    <row r="68" spans="1:9" x14ac:dyDescent="0.25">
      <c r="A68" s="147" t="s">
        <v>403</v>
      </c>
      <c r="B68" s="147"/>
      <c r="C68" s="101">
        <f>C64*C65*2</f>
        <v>56</v>
      </c>
    </row>
    <row r="69" spans="1:9" x14ac:dyDescent="0.25">
      <c r="A69" s="147" t="s">
        <v>404</v>
      </c>
      <c r="B69" s="147"/>
      <c r="C69" s="101">
        <f>0.5*C65*2</f>
        <v>7</v>
      </c>
    </row>
    <row r="71" spans="1:9" x14ac:dyDescent="0.25">
      <c r="A71" s="147" t="s">
        <v>405</v>
      </c>
      <c r="B71" s="147"/>
      <c r="C71" s="101">
        <f>(C67*2)+(C68*2)+(C69*2)</f>
        <v>231</v>
      </c>
    </row>
    <row r="72" spans="1:9" x14ac:dyDescent="0.25">
      <c r="A72" s="160" t="s">
        <v>406</v>
      </c>
      <c r="B72" s="160"/>
      <c r="C72" s="161">
        <f>C71*2</f>
        <v>462</v>
      </c>
    </row>
    <row r="73" spans="1:9" x14ac:dyDescent="0.25">
      <c r="A73" s="181"/>
      <c r="B73" s="181"/>
      <c r="C73" s="182"/>
    </row>
    <row r="74" spans="1:9" x14ac:dyDescent="0.25">
      <c r="A74" s="163" t="str">
        <f>ORÇAMENTO!B53</f>
        <v>5.1.6</v>
      </c>
      <c r="B74" s="164" t="str">
        <f>ORÇAMENTO!E53</f>
        <v>CONCRETAGEM DE CORTINA/PILAR DE CONTENÇÃO, ATRAVÉS DE BOMBA, CONCRETO FCK 30 MPA - LANÇAMENTO, ADENSAMENTO E ACABAMENTO</v>
      </c>
      <c r="C74" s="164"/>
      <c r="D74" s="164"/>
      <c r="E74" s="164"/>
      <c r="F74" s="164"/>
      <c r="G74" s="164"/>
      <c r="H74" s="164"/>
      <c r="I74" s="164"/>
    </row>
    <row r="75" spans="1:9" x14ac:dyDescent="0.25">
      <c r="A75" s="163"/>
      <c r="B75" s="164"/>
      <c r="C75" s="164"/>
      <c r="D75" s="164"/>
      <c r="E75" s="164"/>
      <c r="F75" s="164"/>
      <c r="G75" s="164"/>
      <c r="H75" s="164"/>
      <c r="I75" s="164"/>
    </row>
    <row r="77" spans="1:9" x14ac:dyDescent="0.25">
      <c r="A77" s="147" t="s">
        <v>386</v>
      </c>
      <c r="B77" s="147"/>
      <c r="C77" s="101">
        <v>15.5</v>
      </c>
    </row>
    <row r="78" spans="1:9" x14ac:dyDescent="0.25">
      <c r="A78" s="147" t="s">
        <v>409</v>
      </c>
      <c r="B78" s="147"/>
      <c r="C78" s="101">
        <v>0.5</v>
      </c>
    </row>
    <row r="79" spans="1:9" x14ac:dyDescent="0.25">
      <c r="A79" s="147" t="s">
        <v>387</v>
      </c>
      <c r="B79" s="147"/>
      <c r="C79" s="101">
        <v>7.3</v>
      </c>
    </row>
    <row r="80" spans="1:9" x14ac:dyDescent="0.25">
      <c r="A80" s="147" t="s">
        <v>411</v>
      </c>
      <c r="B80" s="147"/>
      <c r="C80" s="184">
        <f>C77*C78*C79</f>
        <v>56.574999999999996</v>
      </c>
    </row>
    <row r="81" spans="1:9" x14ac:dyDescent="0.25">
      <c r="A81" s="147" t="s">
        <v>412</v>
      </c>
      <c r="B81" s="147"/>
      <c r="C81" s="184">
        <f>C80*2</f>
        <v>113.14999999999999</v>
      </c>
    </row>
    <row r="82" spans="1:9" x14ac:dyDescent="0.25">
      <c r="A82" s="185"/>
      <c r="B82" s="185"/>
      <c r="C82" s="186"/>
    </row>
    <row r="83" spans="1:9" x14ac:dyDescent="0.25">
      <c r="A83" s="147" t="s">
        <v>410</v>
      </c>
      <c r="B83" s="147"/>
      <c r="C83" s="101">
        <v>0.5</v>
      </c>
    </row>
    <row r="84" spans="1:9" x14ac:dyDescent="0.25">
      <c r="A84" s="147" t="s">
        <v>413</v>
      </c>
      <c r="B84" s="147"/>
      <c r="C84" s="101">
        <v>15.5</v>
      </c>
    </row>
    <row r="85" spans="1:9" x14ac:dyDescent="0.25">
      <c r="A85" s="147" t="s">
        <v>411</v>
      </c>
      <c r="B85" s="147"/>
      <c r="C85" s="184">
        <f>C84*C83</f>
        <v>7.75</v>
      </c>
    </row>
    <row r="86" spans="1:9" x14ac:dyDescent="0.25">
      <c r="A86" s="147" t="s">
        <v>412</v>
      </c>
      <c r="B86" s="147"/>
      <c r="C86" s="184">
        <f>C85*2</f>
        <v>15.5</v>
      </c>
    </row>
    <row r="87" spans="1:9" x14ac:dyDescent="0.25">
      <c r="A87" s="181"/>
      <c r="B87" s="181"/>
      <c r="C87" s="182"/>
    </row>
    <row r="88" spans="1:9" x14ac:dyDescent="0.25">
      <c r="A88" s="187" t="s">
        <v>414</v>
      </c>
      <c r="B88" s="187"/>
      <c r="C88" s="179">
        <f>C81+C86</f>
        <v>128.64999999999998</v>
      </c>
    </row>
    <row r="90" spans="1:9" x14ac:dyDescent="0.25">
      <c r="A90" s="163" t="str">
        <f>ORÇAMENTO!B67</f>
        <v>5.3.1</v>
      </c>
      <c r="B90" s="164" t="str">
        <f>ORÇAMENTO!E67</f>
        <v>MONTAGEM E DESMONTAGEM DE FÔRMA DE PILARES RETANGULARES E ESTRUTURAS SIMILARES, PÉ DIREITO DUPLO, EM CHAPA DE MADEIRA COMPENSADA PLASTIFICADA, 18 UTILIZAÇÕES</v>
      </c>
      <c r="C90" s="164"/>
      <c r="D90" s="164"/>
      <c r="E90" s="164"/>
      <c r="F90" s="164"/>
      <c r="G90" s="164"/>
      <c r="H90" s="164"/>
      <c r="I90" s="164"/>
    </row>
    <row r="91" spans="1:9" ht="30" customHeight="1" x14ac:dyDescent="0.25">
      <c r="A91" s="163"/>
      <c r="B91" s="164"/>
      <c r="C91" s="164"/>
      <c r="D91" s="164"/>
      <c r="E91" s="164"/>
      <c r="F91" s="164"/>
      <c r="G91" s="164"/>
      <c r="H91" s="164"/>
      <c r="I91" s="164"/>
    </row>
    <row r="93" spans="1:9" x14ac:dyDescent="0.25">
      <c r="A93" s="147" t="s">
        <v>386</v>
      </c>
      <c r="B93" s="147"/>
      <c r="C93" s="101">
        <v>1</v>
      </c>
    </row>
    <row r="94" spans="1:9" x14ac:dyDescent="0.25">
      <c r="A94" s="147" t="s">
        <v>373</v>
      </c>
      <c r="B94" s="147"/>
      <c r="C94" s="101">
        <v>6</v>
      </c>
    </row>
    <row r="95" spans="1:9" x14ac:dyDescent="0.25">
      <c r="A95" s="147" t="s">
        <v>387</v>
      </c>
      <c r="B95" s="147"/>
      <c r="C95" s="101">
        <v>7</v>
      </c>
    </row>
    <row r="96" spans="1:9" x14ac:dyDescent="0.25">
      <c r="A96" s="160" t="s">
        <v>408</v>
      </c>
      <c r="B96" s="160"/>
      <c r="C96" s="161">
        <f>(C93*C95*2)+(C94*C95*2)</f>
        <v>98</v>
      </c>
    </row>
    <row r="98" spans="1:9" x14ac:dyDescent="0.25">
      <c r="A98" s="163" t="str">
        <f>ORÇAMENTO!B71</f>
        <v>5.3.5</v>
      </c>
      <c r="B98" s="164" t="str">
        <f>ORÇAMENTO!E71</f>
        <v>CONCRETAGEM DE CORTINA/PILAR DE CONTENÇÃO, ATRAVÉS DE BOMBA, CONCRETO FCK 30 MPA - LANÇAMENTO, ADENSAMENTO E ACABAMENTO</v>
      </c>
      <c r="C98" s="164"/>
      <c r="D98" s="164"/>
      <c r="E98" s="164"/>
      <c r="F98" s="164"/>
      <c r="G98" s="164"/>
      <c r="H98" s="164"/>
      <c r="I98" s="164"/>
    </row>
    <row r="99" spans="1:9" x14ac:dyDescent="0.25">
      <c r="A99" s="163"/>
      <c r="B99" s="164"/>
      <c r="C99" s="164"/>
      <c r="D99" s="164"/>
      <c r="E99" s="164"/>
      <c r="F99" s="164"/>
      <c r="G99" s="164"/>
      <c r="H99" s="164"/>
      <c r="I99" s="164"/>
    </row>
    <row r="101" spans="1:9" x14ac:dyDescent="0.25">
      <c r="A101" s="147" t="s">
        <v>386</v>
      </c>
      <c r="B101" s="147"/>
      <c r="C101" s="101">
        <v>6</v>
      </c>
    </row>
    <row r="102" spans="1:9" x14ac:dyDescent="0.25">
      <c r="A102" s="147" t="s">
        <v>409</v>
      </c>
      <c r="B102" s="147"/>
      <c r="C102" s="101">
        <v>1</v>
      </c>
    </row>
    <row r="103" spans="1:9" x14ac:dyDescent="0.25">
      <c r="A103" s="147" t="s">
        <v>387</v>
      </c>
      <c r="B103" s="147"/>
      <c r="C103" s="101">
        <v>7.3</v>
      </c>
    </row>
    <row r="104" spans="1:9" x14ac:dyDescent="0.25">
      <c r="A104" s="147" t="s">
        <v>414</v>
      </c>
      <c r="B104" s="147"/>
      <c r="C104" s="184">
        <f>C101*C102*C103</f>
        <v>43.8</v>
      </c>
    </row>
    <row r="106" spans="1:9" x14ac:dyDescent="0.25">
      <c r="A106" s="163" t="str">
        <f>ORÇAMENTO!B77</f>
        <v>6.1.1</v>
      </c>
      <c r="B106" s="164" t="str">
        <f>ORÇAMENTO!E77</f>
        <v>FÔRMA METÁLICA PARA VIGA DE CONCRE PRÉ-MOLDADA PROTENDIDA PARA OAE  UTILIZAÇÃO 20 VEZES - CONFECÇÃO, INSTALAÇÃO E RETIRADA</v>
      </c>
      <c r="C106" s="164"/>
      <c r="D106" s="164"/>
      <c r="E106" s="164"/>
      <c r="F106" s="164"/>
      <c r="G106" s="164"/>
      <c r="H106" s="164"/>
      <c r="I106" s="164"/>
    </row>
    <row r="107" spans="1:9" x14ac:dyDescent="0.25">
      <c r="A107" s="163"/>
      <c r="B107" s="164"/>
      <c r="C107" s="164"/>
      <c r="D107" s="164"/>
      <c r="E107" s="164"/>
      <c r="F107" s="164"/>
      <c r="G107" s="164"/>
      <c r="H107" s="164"/>
      <c r="I107" s="164"/>
    </row>
    <row r="109" spans="1:9" x14ac:dyDescent="0.25">
      <c r="A109" s="147" t="s">
        <v>415</v>
      </c>
      <c r="B109" s="147"/>
      <c r="C109" s="101">
        <v>41.94</v>
      </c>
    </row>
    <row r="110" spans="1:9" ht="27.75" customHeight="1" x14ac:dyDescent="0.25">
      <c r="A110" s="158" t="s">
        <v>416</v>
      </c>
      <c r="B110" s="158"/>
      <c r="C110" s="101">
        <v>14.4</v>
      </c>
    </row>
    <row r="111" spans="1:9" x14ac:dyDescent="0.25">
      <c r="A111" s="160" t="s">
        <v>417</v>
      </c>
      <c r="B111" s="160"/>
      <c r="C111" s="161">
        <f>C109+C110</f>
        <v>56.339999999999996</v>
      </c>
    </row>
    <row r="113" spans="1:9" x14ac:dyDescent="0.25">
      <c r="A113" s="160" t="s">
        <v>418</v>
      </c>
      <c r="B113" s="160"/>
      <c r="C113" s="161">
        <f>C111*8</f>
        <v>450.71999999999997</v>
      </c>
    </row>
    <row r="115" spans="1:9" x14ac:dyDescent="0.25">
      <c r="A115" s="163" t="str">
        <f>ORÇAMENTO!B87</f>
        <v>6.1.11</v>
      </c>
      <c r="B115" s="164" t="str">
        <f>ORÇAMENTO!E87</f>
        <v>CONCRETAGEM DE VIGAS OU LAJES, FCK 40 MPA, COM USO DE BOMBA - LANÇAMENTO, ADENSAMENTO E ACABAMENTO</v>
      </c>
      <c r="C115" s="164"/>
      <c r="D115" s="164"/>
      <c r="E115" s="164"/>
      <c r="F115" s="164"/>
      <c r="G115" s="164"/>
      <c r="H115" s="164"/>
      <c r="I115" s="164"/>
    </row>
    <row r="116" spans="1:9" x14ac:dyDescent="0.25">
      <c r="A116" s="163"/>
      <c r="B116" s="164"/>
      <c r="C116" s="164"/>
      <c r="D116" s="164"/>
      <c r="E116" s="164"/>
      <c r="F116" s="164"/>
      <c r="G116" s="164"/>
      <c r="H116" s="164"/>
      <c r="I116" s="164"/>
    </row>
    <row r="118" spans="1:9" x14ac:dyDescent="0.25">
      <c r="A118" s="147" t="s">
        <v>421</v>
      </c>
      <c r="B118" s="147"/>
      <c r="C118" s="183">
        <v>0.20832999999999999</v>
      </c>
    </row>
    <row r="119" spans="1:9" x14ac:dyDescent="0.25">
      <c r="A119" s="147" t="s">
        <v>422</v>
      </c>
      <c r="B119" s="147"/>
      <c r="C119" s="184">
        <v>18</v>
      </c>
    </row>
    <row r="120" spans="1:9" x14ac:dyDescent="0.25">
      <c r="A120" s="147" t="s">
        <v>419</v>
      </c>
      <c r="B120" s="147"/>
      <c r="C120" s="184">
        <f>C118*C119</f>
        <v>3.7499399999999996</v>
      </c>
    </row>
    <row r="121" spans="1:9" x14ac:dyDescent="0.25">
      <c r="A121" s="147" t="s">
        <v>420</v>
      </c>
      <c r="B121" s="147"/>
      <c r="C121" s="184">
        <f>C120*8</f>
        <v>29.999519999999997</v>
      </c>
    </row>
    <row r="123" spans="1:9" x14ac:dyDescent="0.25">
      <c r="A123" s="163" t="str">
        <f>ORÇAMENTO!B104</f>
        <v>6.3.1</v>
      </c>
      <c r="B123" s="164" t="str">
        <f>ORÇAMENTO!E104</f>
        <v>FABRICAÇÃO DE FÔRMA PARA LAJES, EM CHAPA DE MADEIRA COMPENSADA RESINADA, ESP: 17 MM</v>
      </c>
      <c r="C123" s="164"/>
      <c r="D123" s="164"/>
      <c r="E123" s="164"/>
      <c r="F123" s="164"/>
      <c r="G123" s="164"/>
      <c r="H123" s="164"/>
      <c r="I123" s="164"/>
    </row>
    <row r="124" spans="1:9" x14ac:dyDescent="0.25">
      <c r="A124" s="163"/>
      <c r="B124" s="164"/>
      <c r="C124" s="164"/>
      <c r="D124" s="164"/>
      <c r="E124" s="164"/>
      <c r="F124" s="164"/>
      <c r="G124" s="164"/>
      <c r="H124" s="164"/>
      <c r="I124" s="164"/>
    </row>
    <row r="126" spans="1:9" x14ac:dyDescent="0.25">
      <c r="A126" s="147" t="s">
        <v>423</v>
      </c>
      <c r="B126" s="147"/>
      <c r="C126" s="184">
        <f>1.6+1.6+1+1</f>
        <v>5.2</v>
      </c>
    </row>
    <row r="127" spans="1:9" x14ac:dyDescent="0.25">
      <c r="A127" s="147" t="s">
        <v>409</v>
      </c>
      <c r="B127" s="147"/>
      <c r="C127" s="184">
        <v>0.08</v>
      </c>
    </row>
    <row r="128" spans="1:9" x14ac:dyDescent="0.25">
      <c r="A128" s="147" t="s">
        <v>424</v>
      </c>
      <c r="B128" s="147"/>
      <c r="C128" s="101">
        <f>C126*C127</f>
        <v>0.41600000000000004</v>
      </c>
    </row>
    <row r="129" spans="1:9" x14ac:dyDescent="0.25">
      <c r="A129" s="147" t="s">
        <v>425</v>
      </c>
      <c r="B129" s="147"/>
      <c r="C129" s="184">
        <f>1.6*1</f>
        <v>1.6</v>
      </c>
    </row>
    <row r="130" spans="1:9" x14ac:dyDescent="0.25">
      <c r="A130" s="147" t="s">
        <v>426</v>
      </c>
      <c r="B130" s="147"/>
      <c r="C130" s="184">
        <f>C128+C129</f>
        <v>2.016</v>
      </c>
    </row>
    <row r="132" spans="1:9" x14ac:dyDescent="0.25">
      <c r="A132" s="147" t="s">
        <v>427</v>
      </c>
      <c r="B132" s="147"/>
      <c r="C132" s="101">
        <v>108</v>
      </c>
    </row>
    <row r="134" spans="1:9" x14ac:dyDescent="0.25">
      <c r="A134" s="147" t="s">
        <v>407</v>
      </c>
      <c r="B134" s="147"/>
      <c r="C134" s="184">
        <f>C130*C132</f>
        <v>217.72800000000001</v>
      </c>
    </row>
    <row r="136" spans="1:9" x14ac:dyDescent="0.25">
      <c r="A136" s="163" t="str">
        <f>ORÇAMENTO!B107</f>
        <v>6.3.4</v>
      </c>
      <c r="B136" s="164" t="str">
        <f>ORÇAMENTO!E107</f>
        <v>CONCRETAGEM DE VIGAS OU LAJES, FCK 40 MPA, COM USO DE BOMBA - LANÇAMENTO, ADENSAMENTO E ACABAMENTO (INCLUI GUARDA RODAS)</v>
      </c>
      <c r="C136" s="164"/>
      <c r="D136" s="164"/>
      <c r="E136" s="164"/>
      <c r="F136" s="164"/>
      <c r="G136" s="164"/>
      <c r="H136" s="164"/>
      <c r="I136" s="164"/>
    </row>
    <row r="137" spans="1:9" x14ac:dyDescent="0.25">
      <c r="A137" s="163"/>
      <c r="B137" s="164"/>
      <c r="C137" s="164"/>
      <c r="D137" s="164"/>
      <c r="E137" s="164"/>
      <c r="F137" s="164"/>
      <c r="G137" s="164"/>
      <c r="H137" s="164"/>
      <c r="I137" s="164"/>
    </row>
    <row r="139" spans="1:9" x14ac:dyDescent="0.25">
      <c r="A139" s="147" t="s">
        <v>428</v>
      </c>
      <c r="B139" s="147"/>
      <c r="C139" s="184">
        <f>1.6*1</f>
        <v>1.6</v>
      </c>
    </row>
    <row r="140" spans="1:9" x14ac:dyDescent="0.25">
      <c r="A140" s="147" t="s">
        <v>409</v>
      </c>
      <c r="B140" s="147"/>
      <c r="C140" s="184">
        <v>0.08</v>
      </c>
    </row>
    <row r="141" spans="1:9" x14ac:dyDescent="0.25">
      <c r="A141" s="147" t="s">
        <v>429</v>
      </c>
      <c r="B141" s="147"/>
      <c r="C141" s="184">
        <f>C139*C140</f>
        <v>0.128</v>
      </c>
    </row>
    <row r="143" spans="1:9" x14ac:dyDescent="0.25">
      <c r="A143" s="147" t="s">
        <v>427</v>
      </c>
      <c r="B143" s="147"/>
      <c r="C143" s="101">
        <v>108</v>
      </c>
    </row>
    <row r="145" spans="1:3" x14ac:dyDescent="0.25">
      <c r="A145" s="147" t="s">
        <v>407</v>
      </c>
      <c r="B145" s="147"/>
      <c r="C145" s="184">
        <f>C141*C143</f>
        <v>13.824</v>
      </c>
    </row>
  </sheetData>
  <mergeCells count="110">
    <mergeCell ref="A140:B140"/>
    <mergeCell ref="A141:B141"/>
    <mergeCell ref="A143:B143"/>
    <mergeCell ref="A145:B145"/>
    <mergeCell ref="A130:B130"/>
    <mergeCell ref="A132:B132"/>
    <mergeCell ref="A134:B134"/>
    <mergeCell ref="A136:A137"/>
    <mergeCell ref="B136:I137"/>
    <mergeCell ref="A139:B139"/>
    <mergeCell ref="A123:A124"/>
    <mergeCell ref="B123:I124"/>
    <mergeCell ref="A126:B126"/>
    <mergeCell ref="A127:B127"/>
    <mergeCell ref="A128:B128"/>
    <mergeCell ref="A129:B129"/>
    <mergeCell ref="A113:B113"/>
    <mergeCell ref="A115:A116"/>
    <mergeCell ref="B115:I116"/>
    <mergeCell ref="A120:B120"/>
    <mergeCell ref="A121:B121"/>
    <mergeCell ref="A118:B118"/>
    <mergeCell ref="A119:B119"/>
    <mergeCell ref="A104:B104"/>
    <mergeCell ref="A106:A107"/>
    <mergeCell ref="B106:I107"/>
    <mergeCell ref="A109:B109"/>
    <mergeCell ref="A110:B110"/>
    <mergeCell ref="A111:B111"/>
    <mergeCell ref="A88:B88"/>
    <mergeCell ref="A98:A99"/>
    <mergeCell ref="B98:I99"/>
    <mergeCell ref="A101:B101"/>
    <mergeCell ref="A102:B102"/>
    <mergeCell ref="A103:B103"/>
    <mergeCell ref="A94:B94"/>
    <mergeCell ref="A95:B95"/>
    <mergeCell ref="A96:B96"/>
    <mergeCell ref="A74:A75"/>
    <mergeCell ref="B74:I75"/>
    <mergeCell ref="A77:B77"/>
    <mergeCell ref="A78:B78"/>
    <mergeCell ref="A79:B79"/>
    <mergeCell ref="A80:B80"/>
    <mergeCell ref="A81:B81"/>
    <mergeCell ref="A69:B69"/>
    <mergeCell ref="A71:B71"/>
    <mergeCell ref="A72:B72"/>
    <mergeCell ref="B90:I91"/>
    <mergeCell ref="A90:A91"/>
    <mergeCell ref="A93:B93"/>
    <mergeCell ref="A83:B83"/>
    <mergeCell ref="A84:B84"/>
    <mergeCell ref="A85:B85"/>
    <mergeCell ref="A86:B86"/>
    <mergeCell ref="A63:B63"/>
    <mergeCell ref="A64:B64"/>
    <mergeCell ref="A65:B65"/>
    <mergeCell ref="A67:B67"/>
    <mergeCell ref="A68:B68"/>
    <mergeCell ref="A53:B53"/>
    <mergeCell ref="A54:B54"/>
    <mergeCell ref="A55:B55"/>
    <mergeCell ref="A56:B56"/>
    <mergeCell ref="A58:B58"/>
    <mergeCell ref="A60:A61"/>
    <mergeCell ref="B60:I61"/>
    <mergeCell ref="A46:B46"/>
    <mergeCell ref="A47:B47"/>
    <mergeCell ref="A48:B48"/>
    <mergeCell ref="A49:B49"/>
    <mergeCell ref="A50:B50"/>
    <mergeCell ref="A52:I52"/>
    <mergeCell ref="A38:B38"/>
    <mergeCell ref="A39:B39"/>
    <mergeCell ref="A40:B40"/>
    <mergeCell ref="B42:I43"/>
    <mergeCell ref="A42:A43"/>
    <mergeCell ref="A45:I45"/>
    <mergeCell ref="B33:I34"/>
    <mergeCell ref="A33:A34"/>
    <mergeCell ref="A36:B36"/>
    <mergeCell ref="E36:I37"/>
    <mergeCell ref="A37:B37"/>
    <mergeCell ref="A31:B31"/>
    <mergeCell ref="A27:B27"/>
    <mergeCell ref="A29:B29"/>
    <mergeCell ref="E27:I29"/>
    <mergeCell ref="B24:I25"/>
    <mergeCell ref="A24:A25"/>
    <mergeCell ref="A28:B28"/>
    <mergeCell ref="A30:B30"/>
    <mergeCell ref="A15:B15"/>
    <mergeCell ref="A17:A18"/>
    <mergeCell ref="B17:I18"/>
    <mergeCell ref="A20:B20"/>
    <mergeCell ref="E20:I22"/>
    <mergeCell ref="A21:B21"/>
    <mergeCell ref="A22:B22"/>
    <mergeCell ref="A8:B8"/>
    <mergeCell ref="A10:A11"/>
    <mergeCell ref="B10:I11"/>
    <mergeCell ref="A13:B13"/>
    <mergeCell ref="A14:B14"/>
    <mergeCell ref="A1:I1"/>
    <mergeCell ref="B3:I3"/>
    <mergeCell ref="A5:B5"/>
    <mergeCell ref="E5:I6"/>
    <mergeCell ref="A6:B6"/>
    <mergeCell ref="A7:B7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ORÇAMENTO</vt:lpstr>
      <vt:lpstr>CRONOGRAMA</vt:lpstr>
      <vt:lpstr>COMPOSIÇÕES</vt:lpstr>
      <vt:lpstr>ADMINISTRAÇÃO LOCAL</vt:lpstr>
      <vt:lpstr>MOBILIZAÇÃO E DESMOBILIZAÇÃO</vt:lpstr>
      <vt:lpstr>MEMORIAL DE QUANTIDADES</vt:lpstr>
      <vt:lpstr>'ADMINISTRAÇÃO LOCAL'!Area_de_impressao</vt:lpstr>
      <vt:lpstr>COMPOSIÇÕES!Area_de_impressao</vt:lpstr>
      <vt:lpstr>CRONOGRAMA!Area_de_impressao</vt:lpstr>
      <vt:lpstr>'MEMORIAL DE QUANTIDADES'!Area_de_impressao</vt:lpstr>
      <vt:lpstr>'MOBILIZAÇÃO E DESMOBILIZAÇÃO'!Area_de_impressao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2024-07-12T00:39:52Z</cp:lastPrinted>
  <dcterms:created xsi:type="dcterms:W3CDTF">2021-10-02T11:30:26Z</dcterms:created>
  <dcterms:modified xsi:type="dcterms:W3CDTF">2024-07-12T00:40:33Z</dcterms:modified>
</cp:coreProperties>
</file>